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1807003\Pictures\"/>
    </mc:Choice>
  </mc:AlternateContent>
  <bookViews>
    <workbookView xWindow="480" yWindow="80" windowWidth="18200" windowHeight="11020" tabRatio="650" activeTab="1"/>
  </bookViews>
  <sheets>
    <sheet name="паспорт" sheetId="1" r:id="rId1"/>
    <sheet name="графік" sheetId="3" r:id="rId2"/>
    <sheet name="паспорт із підвищеною %" sheetId="8" state="hidden" r:id="rId3"/>
    <sheet name="графік із підвищеною %" sheetId="7" state="hidden" r:id="rId4"/>
    <sheet name="дод 1 до дог кред" sheetId="4" r:id="rId5"/>
    <sheet name="Лист1" sheetId="9" state="hidden" r:id="rId6"/>
  </sheets>
  <definedNames>
    <definedName name="_xlnm.Print_Area" localSheetId="1">графік!$A$1:$R$89</definedName>
  </definedNames>
  <calcPr calcId="152511"/>
</workbook>
</file>

<file path=xl/calcChain.xml><?xml version="1.0" encoding="utf-8"?>
<calcChain xmlns="http://schemas.openxmlformats.org/spreadsheetml/2006/main">
  <c r="R88" i="7" l="1"/>
  <c r="R87" i="7"/>
  <c r="R86" i="7"/>
  <c r="R85" i="7"/>
  <c r="R84" i="7"/>
  <c r="R83" i="7"/>
  <c r="R82" i="7"/>
  <c r="R81" i="7"/>
  <c r="R80" i="7"/>
  <c r="R79" i="7"/>
  <c r="R78" i="7"/>
  <c r="R77" i="7"/>
  <c r="R76" i="7"/>
  <c r="R75" i="7"/>
  <c r="R74" i="7"/>
  <c r="R73" i="7"/>
  <c r="R72" i="7"/>
  <c r="R71" i="7"/>
  <c r="R70" i="7"/>
  <c r="R69" i="7"/>
  <c r="R68" i="7"/>
  <c r="R67" i="7"/>
  <c r="R66" i="7"/>
  <c r="R65" i="7"/>
  <c r="R64" i="7"/>
  <c r="R63" i="7"/>
  <c r="R62" i="7"/>
  <c r="R61" i="7"/>
  <c r="R60" i="7"/>
  <c r="R59" i="7"/>
  <c r="R58" i="7"/>
  <c r="R57" i="7"/>
  <c r="R56" i="7"/>
  <c r="R55" i="7"/>
  <c r="R54" i="7"/>
  <c r="R53" i="7"/>
  <c r="R52" i="7"/>
  <c r="R51" i="7"/>
  <c r="R50" i="7"/>
  <c r="R49" i="7"/>
  <c r="R48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P18" i="7" l="1"/>
  <c r="AF11" i="7"/>
  <c r="AF10" i="7"/>
  <c r="AF9" i="7"/>
  <c r="AF8" i="7"/>
  <c r="AF12" i="7" s="1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S28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AF11" i="3"/>
  <c r="AF10" i="3"/>
  <c r="AF9" i="3"/>
  <c r="AF8" i="3"/>
  <c r="AF12" i="3" l="1"/>
  <c r="P18" i="3" s="1"/>
  <c r="Q9" i="4" s="1"/>
  <c r="Q125" i="4" s="1"/>
  <c r="B4" i="8" l="1"/>
  <c r="D70" i="1"/>
  <c r="D71" i="1" s="1"/>
  <c r="B8" i="1"/>
  <c r="B7" i="8" s="1"/>
  <c r="A70" i="1" l="1"/>
  <c r="A66" i="8" s="1"/>
  <c r="B70" i="1" l="1"/>
  <c r="B66" i="8" s="1"/>
  <c r="E22" i="8"/>
  <c r="B22" i="8" s="1"/>
  <c r="E23" i="1"/>
  <c r="B23" i="1" s="1"/>
  <c r="Q15" i="7" l="1"/>
  <c r="Q14" i="7"/>
  <c r="D51" i="8" s="1"/>
  <c r="P11" i="7"/>
  <c r="P8" i="7"/>
  <c r="P8" i="3"/>
  <c r="Q15" i="3"/>
  <c r="Q14" i="3"/>
  <c r="P11" i="3"/>
  <c r="D53" i="1" l="1"/>
  <c r="E53" i="1" s="1"/>
  <c r="B53" i="1" s="1"/>
  <c r="E51" i="8"/>
  <c r="B51" i="8" s="1"/>
  <c r="O148" i="4"/>
  <c r="N148" i="4"/>
  <c r="M148" i="4"/>
  <c r="L148" i="4"/>
  <c r="O147" i="4"/>
  <c r="N147" i="4"/>
  <c r="M147" i="4"/>
  <c r="L147" i="4"/>
  <c r="O146" i="4"/>
  <c r="N146" i="4"/>
  <c r="M146" i="4"/>
  <c r="L146" i="4"/>
  <c r="H152" i="4"/>
  <c r="J148" i="4"/>
  <c r="I148" i="4"/>
  <c r="H148" i="4"/>
  <c r="J147" i="4"/>
  <c r="I147" i="4"/>
  <c r="H147" i="4"/>
  <c r="J146" i="4"/>
  <c r="I146" i="4"/>
  <c r="H146" i="4"/>
  <c r="O32" i="4"/>
  <c r="N32" i="4"/>
  <c r="M32" i="4"/>
  <c r="L32" i="4"/>
  <c r="O31" i="4"/>
  <c r="N31" i="4"/>
  <c r="M31" i="4"/>
  <c r="L31" i="4"/>
  <c r="O30" i="4"/>
  <c r="N30" i="4"/>
  <c r="M30" i="4"/>
  <c r="L30" i="4"/>
  <c r="J32" i="4"/>
  <c r="I32" i="4"/>
  <c r="J31" i="4"/>
  <c r="I31" i="4"/>
  <c r="J30" i="4"/>
  <c r="I30" i="4"/>
  <c r="K29" i="4"/>
  <c r="R17" i="7"/>
  <c r="R16" i="7"/>
  <c r="L28" i="7" s="1"/>
  <c r="D52" i="8" s="1"/>
  <c r="R13" i="7"/>
  <c r="J28" i="7" s="1"/>
  <c r="D50" i="8" s="1"/>
  <c r="R12" i="7"/>
  <c r="I28" i="7" s="1"/>
  <c r="D49" i="8" s="1"/>
  <c r="R15" i="7"/>
  <c r="R14" i="7"/>
  <c r="R11" i="7"/>
  <c r="N28" i="7" s="1"/>
  <c r="I145" i="4" s="1"/>
  <c r="Q123" i="4" s="1"/>
  <c r="B39" i="1"/>
  <c r="R17" i="3"/>
  <c r="R16" i="3"/>
  <c r="L28" i="3" s="1"/>
  <c r="D54" i="1" s="1"/>
  <c r="R14" i="3"/>
  <c r="R13" i="3"/>
  <c r="J28" i="3" s="1"/>
  <c r="D52" i="1" s="1"/>
  <c r="R12" i="3"/>
  <c r="I28" i="3" s="1"/>
  <c r="D51" i="1" s="1"/>
  <c r="R9" i="3"/>
  <c r="Y8" i="3"/>
  <c r="R15" i="3"/>
  <c r="R11" i="3"/>
  <c r="N28" i="3" s="1"/>
  <c r="I29" i="4" s="1"/>
  <c r="Q7" i="4" s="1"/>
  <c r="O28" i="7" l="1"/>
  <c r="O89" i="7" s="1"/>
  <c r="O28" i="3"/>
  <c r="J29" i="4" s="1"/>
  <c r="E52" i="8"/>
  <c r="B52" i="8" s="1"/>
  <c r="E50" i="8"/>
  <c r="B50" i="8" s="1"/>
  <c r="E49" i="8"/>
  <c r="B49" i="8" s="1"/>
  <c r="E54" i="1"/>
  <c r="B54" i="1" s="1"/>
  <c r="E52" i="1"/>
  <c r="B52" i="1" s="1"/>
  <c r="E51" i="1"/>
  <c r="B51" i="1" s="1"/>
  <c r="O145" i="4"/>
  <c r="L145" i="4"/>
  <c r="M29" i="4"/>
  <c r="O29" i="4"/>
  <c r="L29" i="4"/>
  <c r="M145" i="4"/>
  <c r="B37" i="8"/>
  <c r="K28" i="7"/>
  <c r="K28" i="3"/>
  <c r="J145" i="4" l="1"/>
  <c r="N29" i="4"/>
  <c r="Q10" i="4" s="1"/>
  <c r="N145" i="4"/>
  <c r="Q126" i="4" s="1"/>
  <c r="R9" i="7"/>
  <c r="P28" i="7" l="1"/>
  <c r="P28" i="3"/>
  <c r="K145" i="4"/>
  <c r="E122" i="4"/>
  <c r="P26" i="7"/>
  <c r="B31" i="8" l="1"/>
  <c r="P26" i="3" l="1"/>
  <c r="Q145" i="4" l="1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P145" i="4"/>
  <c r="A146" i="4"/>
  <c r="E123" i="4"/>
  <c r="B35" i="8"/>
  <c r="F22" i="7"/>
  <c r="F21" i="7"/>
  <c r="Q21" i="7"/>
  <c r="AD19" i="7"/>
  <c r="AD24" i="7" s="1"/>
  <c r="D9" i="7"/>
  <c r="F6" i="7"/>
  <c r="D6" i="7" s="1"/>
  <c r="D5" i="7"/>
  <c r="D4" i="7"/>
  <c r="G9" i="7" l="1"/>
  <c r="D7" i="7"/>
  <c r="E28" i="7" s="1"/>
  <c r="B21" i="8"/>
  <c r="F24" i="7"/>
  <c r="E127" i="4"/>
  <c r="D8" i="7"/>
  <c r="M28" i="7" l="1"/>
  <c r="H145" i="4" s="1"/>
  <c r="Q121" i="4" s="1"/>
  <c r="Y8" i="7"/>
  <c r="D145" i="4"/>
  <c r="F29" i="7"/>
  <c r="F146" i="4" s="1"/>
  <c r="P146" i="4"/>
  <c r="P147" i="4"/>
  <c r="F30" i="7"/>
  <c r="F147" i="4" s="1"/>
  <c r="A30" i="7"/>
  <c r="F133" i="4"/>
  <c r="E133" i="4"/>
  <c r="G133" i="4"/>
  <c r="Q21" i="3"/>
  <c r="B37" i="1"/>
  <c r="F3" i="3"/>
  <c r="F3" i="7" s="1"/>
  <c r="F24" i="3"/>
  <c r="H28" i="7" l="1"/>
  <c r="P148" i="4"/>
  <c r="A147" i="4"/>
  <c r="E29" i="7"/>
  <c r="E30" i="7" s="1"/>
  <c r="D147" i="4" s="1"/>
  <c r="A31" i="7"/>
  <c r="F23" i="3"/>
  <c r="E124" i="4"/>
  <c r="E125" i="4" s="1"/>
  <c r="D8" i="3"/>
  <c r="D9" i="3"/>
  <c r="F6" i="3"/>
  <c r="D6" i="3" s="1"/>
  <c r="H31" i="4"/>
  <c r="H32" i="4"/>
  <c r="H36" i="4"/>
  <c r="H30" i="4"/>
  <c r="P29" i="4"/>
  <c r="A30" i="4"/>
  <c r="E11" i="4"/>
  <c r="AD19" i="3"/>
  <c r="AD24" i="3"/>
  <c r="E7" i="4"/>
  <c r="B33" i="1"/>
  <c r="G9" i="3"/>
  <c r="B22" i="1"/>
  <c r="D5" i="3"/>
  <c r="D4" i="3"/>
  <c r="E6" i="4"/>
  <c r="R29" i="3" l="1"/>
  <c r="R30" i="3"/>
  <c r="Q29" i="4"/>
  <c r="Q30" i="3"/>
  <c r="P31" i="4" s="1"/>
  <c r="Q29" i="3"/>
  <c r="P30" i="4" s="1"/>
  <c r="J149" i="4"/>
  <c r="L32" i="7"/>
  <c r="O149" i="4" s="1"/>
  <c r="J32" i="7"/>
  <c r="M149" i="4" s="1"/>
  <c r="N32" i="7"/>
  <c r="I149" i="4" s="1"/>
  <c r="K32" i="7"/>
  <c r="N149" i="4" s="1"/>
  <c r="I32" i="7"/>
  <c r="L149" i="4" s="1"/>
  <c r="A148" i="4"/>
  <c r="A32" i="7"/>
  <c r="D146" i="4"/>
  <c r="P149" i="4"/>
  <c r="M32" i="7"/>
  <c r="H149" i="4" s="1"/>
  <c r="D3" i="7"/>
  <c r="D19" i="7" s="1"/>
  <c r="F23" i="7"/>
  <c r="A33" i="7"/>
  <c r="F17" i="4"/>
  <c r="G17" i="4"/>
  <c r="E17" i="4"/>
  <c r="D7" i="3"/>
  <c r="E28" i="3" s="1"/>
  <c r="D20" i="3"/>
  <c r="D3" i="3"/>
  <c r="B28" i="3" s="1"/>
  <c r="B112" i="3" s="1"/>
  <c r="A30" i="3"/>
  <c r="R31" i="3" s="1"/>
  <c r="Q31" i="3" l="1"/>
  <c r="J151" i="4"/>
  <c r="L34" i="7"/>
  <c r="O151" i="4" s="1"/>
  <c r="J34" i="7"/>
  <c r="M151" i="4" s="1"/>
  <c r="N34" i="7"/>
  <c r="I151" i="4" s="1"/>
  <c r="K34" i="7"/>
  <c r="N151" i="4" s="1"/>
  <c r="I34" i="7"/>
  <c r="L151" i="4" s="1"/>
  <c r="J150" i="4"/>
  <c r="L33" i="7"/>
  <c r="O150" i="4" s="1"/>
  <c r="J33" i="7"/>
  <c r="M150" i="4" s="1"/>
  <c r="N33" i="7"/>
  <c r="I150" i="4" s="1"/>
  <c r="K33" i="7"/>
  <c r="N150" i="4" s="1"/>
  <c r="I33" i="7"/>
  <c r="L150" i="4" s="1"/>
  <c r="D29" i="4"/>
  <c r="F31" i="7"/>
  <c r="F148" i="4" s="1"/>
  <c r="A150" i="4"/>
  <c r="A149" i="4"/>
  <c r="M33" i="7"/>
  <c r="H150" i="4" s="1"/>
  <c r="P150" i="4"/>
  <c r="B28" i="7"/>
  <c r="B98" i="7" s="1"/>
  <c r="C98" i="7" s="1"/>
  <c r="B215" i="4" s="1"/>
  <c r="A17" i="4"/>
  <c r="D20" i="7"/>
  <c r="A133" i="4" s="1"/>
  <c r="P151" i="4"/>
  <c r="M34" i="7"/>
  <c r="H151" i="4" s="1"/>
  <c r="F32" i="7"/>
  <c r="A34" i="7"/>
  <c r="F30" i="3"/>
  <c r="F31" i="4" s="1"/>
  <c r="P32" i="4"/>
  <c r="F29" i="3"/>
  <c r="E29" i="3" s="1"/>
  <c r="M28" i="3"/>
  <c r="H28" i="3" s="1"/>
  <c r="S28" i="3" s="1"/>
  <c r="A31" i="4"/>
  <c r="D19" i="3"/>
  <c r="C112" i="3" s="1"/>
  <c r="B37" i="3"/>
  <c r="B101" i="3"/>
  <c r="B38" i="3"/>
  <c r="B53" i="3"/>
  <c r="B100" i="3"/>
  <c r="B32" i="3"/>
  <c r="B69" i="3"/>
  <c r="B68" i="3"/>
  <c r="B74" i="3"/>
  <c r="B85" i="3"/>
  <c r="B90" i="3"/>
  <c r="B29" i="3"/>
  <c r="C29" i="3" s="1"/>
  <c r="B45" i="3"/>
  <c r="B61" i="3"/>
  <c r="B77" i="3"/>
  <c r="B93" i="3"/>
  <c r="B109" i="3"/>
  <c r="B84" i="3"/>
  <c r="B110" i="3"/>
  <c r="B78" i="3"/>
  <c r="B54" i="3"/>
  <c r="B48" i="3"/>
  <c r="B33" i="3"/>
  <c r="B41" i="3"/>
  <c r="B49" i="3"/>
  <c r="B57" i="3"/>
  <c r="B65" i="3"/>
  <c r="B73" i="3"/>
  <c r="B81" i="3"/>
  <c r="B89" i="3"/>
  <c r="B97" i="3"/>
  <c r="B105" i="3"/>
  <c r="B108" i="3"/>
  <c r="B92" i="3"/>
  <c r="B76" i="3"/>
  <c r="B60" i="3"/>
  <c r="B98" i="3"/>
  <c r="B86" i="3"/>
  <c r="B30" i="3"/>
  <c r="B46" i="3"/>
  <c r="B70" i="3"/>
  <c r="B40" i="3"/>
  <c r="B58" i="3"/>
  <c r="B31" i="3"/>
  <c r="B35" i="3"/>
  <c r="B39" i="3"/>
  <c r="B43" i="3"/>
  <c r="B47" i="3"/>
  <c r="B51" i="3"/>
  <c r="B55" i="3"/>
  <c r="B59" i="3"/>
  <c r="B63" i="3"/>
  <c r="B67" i="3"/>
  <c r="B71" i="3"/>
  <c r="B75" i="3"/>
  <c r="B79" i="3"/>
  <c r="B83" i="3"/>
  <c r="B87" i="3"/>
  <c r="B91" i="3"/>
  <c r="B95" i="3"/>
  <c r="B99" i="3"/>
  <c r="B103" i="3"/>
  <c r="B107" i="3"/>
  <c r="B111" i="3"/>
  <c r="B104" i="3"/>
  <c r="B96" i="3"/>
  <c r="B88" i="3"/>
  <c r="B80" i="3"/>
  <c r="B72" i="3"/>
  <c r="B64" i="3"/>
  <c r="B56" i="3"/>
  <c r="B106" i="3"/>
  <c r="B102" i="3"/>
  <c r="B94" i="3"/>
  <c r="B82" i="3"/>
  <c r="B34" i="3"/>
  <c r="B42" i="3"/>
  <c r="B50" i="3"/>
  <c r="B62" i="3"/>
  <c r="C28" i="3"/>
  <c r="B36" i="3"/>
  <c r="B44" i="3"/>
  <c r="B52" i="3"/>
  <c r="B66" i="3"/>
  <c r="A31" i="3"/>
  <c r="R32" i="3" s="1"/>
  <c r="C46" i="3" l="1"/>
  <c r="O32" i="3"/>
  <c r="Q32" i="3"/>
  <c r="E8" i="4"/>
  <c r="E9" i="4" s="1"/>
  <c r="Q216" i="4" s="1"/>
  <c r="C95" i="3"/>
  <c r="C78" i="3"/>
  <c r="C47" i="3"/>
  <c r="C73" i="3"/>
  <c r="C68" i="3"/>
  <c r="C60" i="3"/>
  <c r="C93" i="3"/>
  <c r="C34" i="3"/>
  <c r="C79" i="3"/>
  <c r="C80" i="3"/>
  <c r="C66" i="3"/>
  <c r="C111" i="3"/>
  <c r="C41" i="3"/>
  <c r="C106" i="3"/>
  <c r="C63" i="3"/>
  <c r="C105" i="3"/>
  <c r="J152" i="4"/>
  <c r="L35" i="7"/>
  <c r="O152" i="4" s="1"/>
  <c r="J35" i="7"/>
  <c r="M152" i="4" s="1"/>
  <c r="N35" i="7"/>
  <c r="I152" i="4" s="1"/>
  <c r="K35" i="7"/>
  <c r="N152" i="4" s="1"/>
  <c r="I35" i="7"/>
  <c r="L152" i="4" s="1"/>
  <c r="J33" i="4"/>
  <c r="I32" i="3"/>
  <c r="L33" i="4" s="1"/>
  <c r="K32" i="3"/>
  <c r="N33" i="4" s="1"/>
  <c r="N32" i="3"/>
  <c r="I33" i="4" s="1"/>
  <c r="J32" i="3"/>
  <c r="M33" i="4" s="1"/>
  <c r="L32" i="3"/>
  <c r="O33" i="4" s="1"/>
  <c r="C31" i="3"/>
  <c r="V31" i="3" s="1"/>
  <c r="W31" i="3" s="1"/>
  <c r="H29" i="4"/>
  <c r="Q5" i="4" s="1"/>
  <c r="E31" i="7"/>
  <c r="D148" i="4" s="1"/>
  <c r="C28" i="7"/>
  <c r="A151" i="4"/>
  <c r="B35" i="7"/>
  <c r="C35" i="7" s="1"/>
  <c r="B152" i="4" s="1"/>
  <c r="Q153" i="4" s="1"/>
  <c r="F149" i="4"/>
  <c r="B60" i="7"/>
  <c r="C60" i="7" s="1"/>
  <c r="B177" i="4" s="1"/>
  <c r="Q178" i="4" s="1"/>
  <c r="B66" i="7"/>
  <c r="C66" i="7" s="1"/>
  <c r="B183" i="4" s="1"/>
  <c r="Q184" i="4" s="1"/>
  <c r="B104" i="7"/>
  <c r="C104" i="7" s="1"/>
  <c r="B221" i="4" s="1"/>
  <c r="B47" i="7"/>
  <c r="C47" i="7" s="1"/>
  <c r="B164" i="4" s="1"/>
  <c r="Q165" i="4" s="1"/>
  <c r="B103" i="7"/>
  <c r="C103" i="7" s="1"/>
  <c r="B220" i="4" s="1"/>
  <c r="Q221" i="4" s="1"/>
  <c r="B80" i="7"/>
  <c r="C80" i="7" s="1"/>
  <c r="B197" i="4" s="1"/>
  <c r="Q198" i="4" s="1"/>
  <c r="B42" i="7"/>
  <c r="C42" i="7" s="1"/>
  <c r="B159" i="4" s="1"/>
  <c r="Q160" i="4" s="1"/>
  <c r="B102" i="7"/>
  <c r="C102" i="7" s="1"/>
  <c r="B219" i="4" s="1"/>
  <c r="B29" i="7"/>
  <c r="C29" i="7" s="1"/>
  <c r="B146" i="4" s="1"/>
  <c r="Q147" i="4" s="1"/>
  <c r="B36" i="7"/>
  <c r="B67" i="7"/>
  <c r="C67" i="7" s="1"/>
  <c r="B184" i="4" s="1"/>
  <c r="Q185" i="4" s="1"/>
  <c r="B44" i="7"/>
  <c r="C44" i="7" s="1"/>
  <c r="B161" i="4" s="1"/>
  <c r="Q162" i="4" s="1"/>
  <c r="B41" i="7"/>
  <c r="C41" i="7" s="1"/>
  <c r="B158" i="4" s="1"/>
  <c r="Q159" i="4" s="1"/>
  <c r="B82" i="7"/>
  <c r="C82" i="7" s="1"/>
  <c r="B199" i="4" s="1"/>
  <c r="Q200" i="4" s="1"/>
  <c r="B84" i="7"/>
  <c r="C84" i="7" s="1"/>
  <c r="B201" i="4" s="1"/>
  <c r="Q202" i="4" s="1"/>
  <c r="B93" i="7"/>
  <c r="C93" i="7" s="1"/>
  <c r="B210" i="4" s="1"/>
  <c r="B40" i="7"/>
  <c r="C40" i="7" s="1"/>
  <c r="B157" i="4" s="1"/>
  <c r="Q158" i="4" s="1"/>
  <c r="B73" i="7"/>
  <c r="C73" i="7" s="1"/>
  <c r="B190" i="4" s="1"/>
  <c r="Q191" i="4" s="1"/>
  <c r="B83" i="7"/>
  <c r="C83" i="7" s="1"/>
  <c r="B200" i="4" s="1"/>
  <c r="Q201" i="4" s="1"/>
  <c r="B70" i="7"/>
  <c r="C70" i="7" s="1"/>
  <c r="B187" i="4" s="1"/>
  <c r="Q188" i="4" s="1"/>
  <c r="B59" i="7"/>
  <c r="C59" i="7" s="1"/>
  <c r="B176" i="4" s="1"/>
  <c r="Q177" i="4" s="1"/>
  <c r="B91" i="7"/>
  <c r="C91" i="7" s="1"/>
  <c r="B208" i="4" s="1"/>
  <c r="B71" i="7"/>
  <c r="C71" i="7" s="1"/>
  <c r="B188" i="4" s="1"/>
  <c r="Q189" i="4" s="1"/>
  <c r="B76" i="7"/>
  <c r="C76" i="7" s="1"/>
  <c r="B193" i="4" s="1"/>
  <c r="Q194" i="4" s="1"/>
  <c r="B56" i="7"/>
  <c r="C56" i="7" s="1"/>
  <c r="B173" i="4" s="1"/>
  <c r="Q174" i="4" s="1"/>
  <c r="B92" i="7"/>
  <c r="C92" i="7" s="1"/>
  <c r="B209" i="4" s="1"/>
  <c r="B57" i="7"/>
  <c r="C57" i="7" s="1"/>
  <c r="B174" i="4" s="1"/>
  <c r="Q175" i="4" s="1"/>
  <c r="B110" i="7"/>
  <c r="C110" i="7" s="1"/>
  <c r="B227" i="4" s="1"/>
  <c r="B108" i="7"/>
  <c r="C108" i="7" s="1"/>
  <c r="B225" i="4" s="1"/>
  <c r="Q226" i="4" s="1"/>
  <c r="B58" i="7"/>
  <c r="C58" i="7" s="1"/>
  <c r="B175" i="4" s="1"/>
  <c r="Q176" i="4" s="1"/>
  <c r="B112" i="7"/>
  <c r="C112" i="7" s="1"/>
  <c r="B229" i="4" s="1"/>
  <c r="B68" i="7"/>
  <c r="C68" i="7" s="1"/>
  <c r="B185" i="4" s="1"/>
  <c r="Q186" i="4" s="1"/>
  <c r="B99" i="7"/>
  <c r="C99" i="7" s="1"/>
  <c r="B216" i="4" s="1"/>
  <c r="B69" i="7"/>
  <c r="C69" i="7" s="1"/>
  <c r="B186" i="4" s="1"/>
  <c r="Q187" i="4" s="1"/>
  <c r="B33" i="7"/>
  <c r="C33" i="7" s="1"/>
  <c r="B150" i="4" s="1"/>
  <c r="Q151" i="4" s="1"/>
  <c r="B53" i="7"/>
  <c r="C53" i="7" s="1"/>
  <c r="B170" i="4" s="1"/>
  <c r="Q171" i="4" s="1"/>
  <c r="B90" i="7"/>
  <c r="C90" i="7" s="1"/>
  <c r="B207" i="4" s="1"/>
  <c r="Q208" i="4" s="1"/>
  <c r="B51" i="7"/>
  <c r="C51" i="7" s="1"/>
  <c r="B168" i="4" s="1"/>
  <c r="Q169" i="4" s="1"/>
  <c r="B34" i="7"/>
  <c r="C34" i="7" s="1"/>
  <c r="B151" i="4" s="1"/>
  <c r="Q152" i="4" s="1"/>
  <c r="B54" i="7"/>
  <c r="C54" i="7" s="1"/>
  <c r="B171" i="4" s="1"/>
  <c r="Q172" i="4" s="1"/>
  <c r="B97" i="7"/>
  <c r="C97" i="7" s="1"/>
  <c r="B214" i="4" s="1"/>
  <c r="B38" i="7"/>
  <c r="C38" i="7" s="1"/>
  <c r="B155" i="4" s="1"/>
  <c r="Q156" i="4" s="1"/>
  <c r="B55" i="7"/>
  <c r="C55" i="7" s="1"/>
  <c r="B100" i="7"/>
  <c r="C100" i="7" s="1"/>
  <c r="B81" i="7"/>
  <c r="C81" i="7" s="1"/>
  <c r="B48" i="7"/>
  <c r="C48" i="7" s="1"/>
  <c r="B64" i="7"/>
  <c r="C64" i="7" s="1"/>
  <c r="B77" i="7"/>
  <c r="C77" i="7" s="1"/>
  <c r="B111" i="7"/>
  <c r="C111" i="7" s="1"/>
  <c r="B85" i="7"/>
  <c r="C85" i="7" s="1"/>
  <c r="B45" i="7"/>
  <c r="C45" i="7" s="1"/>
  <c r="B61" i="7"/>
  <c r="C61" i="7" s="1"/>
  <c r="B74" i="7"/>
  <c r="C74" i="7" s="1"/>
  <c r="B95" i="7"/>
  <c r="C95" i="7" s="1"/>
  <c r="V95" i="7" s="1"/>
  <c r="W95" i="7" s="1"/>
  <c r="B37" i="7"/>
  <c r="B96" i="7"/>
  <c r="C96" i="7" s="1"/>
  <c r="B31" i="7"/>
  <c r="B32" i="7"/>
  <c r="B46" i="7"/>
  <c r="C46" i="7" s="1"/>
  <c r="B62" i="7"/>
  <c r="C62" i="7" s="1"/>
  <c r="B75" i="7"/>
  <c r="C75" i="7" s="1"/>
  <c r="B105" i="7"/>
  <c r="C105" i="7" s="1"/>
  <c r="B107" i="7"/>
  <c r="C107" i="7" s="1"/>
  <c r="V107" i="7" s="1"/>
  <c r="W107" i="7" s="1"/>
  <c r="B63" i="7"/>
  <c r="C63" i="7" s="1"/>
  <c r="B88" i="7"/>
  <c r="C88" i="7" s="1"/>
  <c r="B30" i="7"/>
  <c r="C30" i="7" s="1"/>
  <c r="B147" i="4" s="1"/>
  <c r="Q148" i="4" s="1"/>
  <c r="B52" i="7"/>
  <c r="C52" i="7" s="1"/>
  <c r="T52" i="7" s="1"/>
  <c r="U52" i="7" s="1"/>
  <c r="B109" i="7"/>
  <c r="C109" i="7" s="1"/>
  <c r="B86" i="7"/>
  <c r="C86" i="7" s="1"/>
  <c r="B106" i="7"/>
  <c r="C106" i="7" s="1"/>
  <c r="B89" i="7"/>
  <c r="C89" i="7" s="1"/>
  <c r="B49" i="7"/>
  <c r="C49" i="7" s="1"/>
  <c r="B65" i="7"/>
  <c r="C65" i="7" s="1"/>
  <c r="B78" i="7"/>
  <c r="C78" i="7" s="1"/>
  <c r="B94" i="7"/>
  <c r="C94" i="7" s="1"/>
  <c r="T94" i="7" s="1"/>
  <c r="U94" i="7" s="1"/>
  <c r="B43" i="7"/>
  <c r="C43" i="7" s="1"/>
  <c r="B72" i="7"/>
  <c r="C72" i="7" s="1"/>
  <c r="B39" i="7"/>
  <c r="C39" i="7" s="1"/>
  <c r="B156" i="4" s="1"/>
  <c r="Q157" i="4" s="1"/>
  <c r="B101" i="7"/>
  <c r="C101" i="7" s="1"/>
  <c r="B50" i="7"/>
  <c r="C50" i="7" s="1"/>
  <c r="B87" i="7"/>
  <c r="C87" i="7" s="1"/>
  <c r="B79" i="7"/>
  <c r="C79" i="7" s="1"/>
  <c r="A35" i="7"/>
  <c r="F33" i="7"/>
  <c r="P152" i="4"/>
  <c r="V98" i="7"/>
  <c r="W98" i="7" s="1"/>
  <c r="T98" i="7"/>
  <c r="U98" i="7" s="1"/>
  <c r="E30" i="3"/>
  <c r="D31" i="4" s="1"/>
  <c r="C53" i="3"/>
  <c r="D30" i="4"/>
  <c r="F30" i="4"/>
  <c r="P33" i="4"/>
  <c r="C44" i="3"/>
  <c r="C50" i="3"/>
  <c r="C94" i="3"/>
  <c r="C64" i="3"/>
  <c r="C96" i="3"/>
  <c r="C103" i="3"/>
  <c r="C87" i="3"/>
  <c r="C71" i="3"/>
  <c r="C55" i="3"/>
  <c r="C39" i="3"/>
  <c r="C40" i="3"/>
  <c r="C86" i="3"/>
  <c r="C36" i="3"/>
  <c r="C42" i="3"/>
  <c r="C102" i="3"/>
  <c r="C72" i="3"/>
  <c r="C104" i="3"/>
  <c r="C99" i="3"/>
  <c r="C83" i="3"/>
  <c r="C67" i="3"/>
  <c r="C51" i="3"/>
  <c r="C35" i="3"/>
  <c r="C70" i="3"/>
  <c r="C98" i="3"/>
  <c r="C52" i="3"/>
  <c r="C62" i="3"/>
  <c r="C82" i="3"/>
  <c r="C56" i="3"/>
  <c r="C88" i="3"/>
  <c r="C107" i="3"/>
  <c r="C91" i="3"/>
  <c r="C75" i="3"/>
  <c r="C59" i="3"/>
  <c r="C43" i="3"/>
  <c r="C58" i="3"/>
  <c r="C30" i="3"/>
  <c r="T30" i="3" s="1"/>
  <c r="U30" i="3" s="1"/>
  <c r="C76" i="3"/>
  <c r="C97" i="3"/>
  <c r="C65" i="3"/>
  <c r="C33" i="3"/>
  <c r="C110" i="3"/>
  <c r="C77" i="3"/>
  <c r="C90" i="3"/>
  <c r="C69" i="3"/>
  <c r="C38" i="3"/>
  <c r="C108" i="3"/>
  <c r="C81" i="3"/>
  <c r="C49" i="3"/>
  <c r="C54" i="3"/>
  <c r="C109" i="3"/>
  <c r="C45" i="3"/>
  <c r="C74" i="3"/>
  <c r="C100" i="3"/>
  <c r="C37" i="3"/>
  <c r="C92" i="3"/>
  <c r="C89" i="3"/>
  <c r="C57" i="3"/>
  <c r="C48" i="3"/>
  <c r="C84" i="3"/>
  <c r="C61" i="3"/>
  <c r="C85" i="3"/>
  <c r="C32" i="3"/>
  <c r="C101" i="3"/>
  <c r="D38" i="3"/>
  <c r="C39" i="4" s="1"/>
  <c r="D36" i="3"/>
  <c r="C37" i="4" s="1"/>
  <c r="D34" i="3"/>
  <c r="C35" i="4" s="1"/>
  <c r="D33" i="3"/>
  <c r="C34" i="4" s="1"/>
  <c r="D39" i="3"/>
  <c r="C40" i="4" s="1"/>
  <c r="D29" i="3"/>
  <c r="C30" i="4" s="1"/>
  <c r="D31" i="3"/>
  <c r="C32" i="4" s="1"/>
  <c r="D30" i="3"/>
  <c r="C31" i="4" s="1"/>
  <c r="D35" i="3"/>
  <c r="C36" i="4" s="1"/>
  <c r="D37" i="3"/>
  <c r="C38" i="4" s="1"/>
  <c r="D40" i="3"/>
  <c r="C41" i="4" s="1"/>
  <c r="D32" i="3"/>
  <c r="C33" i="4" s="1"/>
  <c r="B29" i="4"/>
  <c r="Q30" i="4" s="1"/>
  <c r="A32" i="3"/>
  <c r="R33" i="3" s="1"/>
  <c r="M32" i="3"/>
  <c r="H33" i="4" s="1"/>
  <c r="A32" i="4"/>
  <c r="T29" i="3"/>
  <c r="U29" i="3" s="1"/>
  <c r="B30" i="4"/>
  <c r="Q31" i="4" s="1"/>
  <c r="V29" i="3"/>
  <c r="W29" i="3" s="1"/>
  <c r="Q215" i="4" l="1"/>
  <c r="Q217" i="4"/>
  <c r="B145" i="4"/>
  <c r="Q146" i="4" s="1"/>
  <c r="Q222" i="4"/>
  <c r="Q211" i="4"/>
  <c r="Q220" i="4"/>
  <c r="Q230" i="4"/>
  <c r="Q209" i="4"/>
  <c r="Q228" i="4"/>
  <c r="Q210" i="4"/>
  <c r="Q33" i="3"/>
  <c r="P34" i="4" s="1"/>
  <c r="O33" i="3"/>
  <c r="E32" i="7"/>
  <c r="D149" i="4" s="1"/>
  <c r="J153" i="4"/>
  <c r="N36" i="7"/>
  <c r="I153" i="4" s="1"/>
  <c r="K36" i="7"/>
  <c r="N153" i="4" s="1"/>
  <c r="I36" i="7"/>
  <c r="L153" i="4" s="1"/>
  <c r="L36" i="7"/>
  <c r="O153" i="4" s="1"/>
  <c r="J36" i="7"/>
  <c r="M153" i="4" s="1"/>
  <c r="J34" i="4"/>
  <c r="L33" i="3"/>
  <c r="O34" i="4" s="1"/>
  <c r="J33" i="3"/>
  <c r="M34" i="4" s="1"/>
  <c r="N33" i="3"/>
  <c r="I34" i="4" s="1"/>
  <c r="K33" i="3"/>
  <c r="N34" i="4" s="1"/>
  <c r="I33" i="3"/>
  <c r="L34" i="4" s="1"/>
  <c r="A152" i="4"/>
  <c r="D36" i="7"/>
  <c r="C153" i="4" s="1"/>
  <c r="E33" i="7"/>
  <c r="D150" i="4" s="1"/>
  <c r="F150" i="4"/>
  <c r="V66" i="7"/>
  <c r="W66" i="7" s="1"/>
  <c r="T66" i="7"/>
  <c r="U66" i="7" s="1"/>
  <c r="V104" i="7"/>
  <c r="W104" i="7" s="1"/>
  <c r="T104" i="7"/>
  <c r="U104" i="7" s="1"/>
  <c r="D29" i="7"/>
  <c r="C146" i="4" s="1"/>
  <c r="V99" i="7"/>
  <c r="W99" i="7" s="1"/>
  <c r="T102" i="7"/>
  <c r="U102" i="7" s="1"/>
  <c r="V60" i="7"/>
  <c r="W60" i="7" s="1"/>
  <c r="T97" i="7"/>
  <c r="U97" i="7" s="1"/>
  <c r="T60" i="7"/>
  <c r="U60" i="7" s="1"/>
  <c r="T108" i="7"/>
  <c r="U108" i="7" s="1"/>
  <c r="V76" i="7"/>
  <c r="W76" i="7" s="1"/>
  <c r="T53" i="7"/>
  <c r="U53" i="7" s="1"/>
  <c r="V93" i="7"/>
  <c r="W93" i="7" s="1"/>
  <c r="V70" i="7"/>
  <c r="W70" i="7" s="1"/>
  <c r="T76" i="7"/>
  <c r="U76" i="7" s="1"/>
  <c r="T110" i="7"/>
  <c r="U110" i="7" s="1"/>
  <c r="T70" i="7"/>
  <c r="U70" i="7" s="1"/>
  <c r="V44" i="7"/>
  <c r="W44" i="7" s="1"/>
  <c r="T47" i="7"/>
  <c r="U47" i="7" s="1"/>
  <c r="V102" i="7"/>
  <c r="W102" i="7" s="1"/>
  <c r="V108" i="7"/>
  <c r="W108" i="7" s="1"/>
  <c r="V90" i="7"/>
  <c r="W90" i="7" s="1"/>
  <c r="V103" i="7"/>
  <c r="W103" i="7" s="1"/>
  <c r="V42" i="7"/>
  <c r="W42" i="7" s="1"/>
  <c r="V67" i="7"/>
  <c r="W67" i="7" s="1"/>
  <c r="V84" i="7"/>
  <c r="W84" i="7" s="1"/>
  <c r="T42" i="7"/>
  <c r="U42" i="7" s="1"/>
  <c r="T83" i="7"/>
  <c r="U83" i="7" s="1"/>
  <c r="T84" i="7"/>
  <c r="U84" i="7" s="1"/>
  <c r="C36" i="7"/>
  <c r="B153" i="4" s="1"/>
  <c r="Q154" i="4" s="1"/>
  <c r="T67" i="7"/>
  <c r="U67" i="7" s="1"/>
  <c r="V71" i="7"/>
  <c r="W71" i="7" s="1"/>
  <c r="T112" i="7"/>
  <c r="U112" i="7" s="1"/>
  <c r="D34" i="7"/>
  <c r="C151" i="4" s="1"/>
  <c r="V56" i="7"/>
  <c r="W56" i="7" s="1"/>
  <c r="V82" i="7"/>
  <c r="W82" i="7" s="1"/>
  <c r="V59" i="7"/>
  <c r="W59" i="7" s="1"/>
  <c r="V80" i="7"/>
  <c r="W80" i="7" s="1"/>
  <c r="V41" i="7"/>
  <c r="W41" i="7" s="1"/>
  <c r="V92" i="7"/>
  <c r="W92" i="7" s="1"/>
  <c r="T82" i="7"/>
  <c r="U82" i="7" s="1"/>
  <c r="T90" i="7"/>
  <c r="U90" i="7" s="1"/>
  <c r="T56" i="7"/>
  <c r="U56" i="7" s="1"/>
  <c r="T59" i="7"/>
  <c r="U59" i="7" s="1"/>
  <c r="T80" i="7"/>
  <c r="U80" i="7" s="1"/>
  <c r="T41" i="7"/>
  <c r="U41" i="7" s="1"/>
  <c r="T92" i="7"/>
  <c r="U92" i="7" s="1"/>
  <c r="T44" i="7"/>
  <c r="U44" i="7" s="1"/>
  <c r="V47" i="7"/>
  <c r="W47" i="7" s="1"/>
  <c r="V97" i="7"/>
  <c r="W97" i="7" s="1"/>
  <c r="T54" i="7"/>
  <c r="U54" i="7" s="1"/>
  <c r="V110" i="7"/>
  <c r="W110" i="7" s="1"/>
  <c r="T103" i="7"/>
  <c r="U103" i="7" s="1"/>
  <c r="T99" i="7"/>
  <c r="U99" i="7" s="1"/>
  <c r="T93" i="7"/>
  <c r="U93" i="7" s="1"/>
  <c r="D37" i="7"/>
  <c r="C154" i="4" s="1"/>
  <c r="V58" i="7"/>
  <c r="W58" i="7" s="1"/>
  <c r="V57" i="7"/>
  <c r="W57" i="7" s="1"/>
  <c r="V73" i="7"/>
  <c r="W73" i="7" s="1"/>
  <c r="V91" i="7"/>
  <c r="W91" i="7" s="1"/>
  <c r="T71" i="7"/>
  <c r="U71" i="7" s="1"/>
  <c r="T58" i="7"/>
  <c r="U58" i="7" s="1"/>
  <c r="T57" i="7"/>
  <c r="U57" i="7" s="1"/>
  <c r="T73" i="7"/>
  <c r="U73" i="7" s="1"/>
  <c r="V112" i="7"/>
  <c r="W112" i="7" s="1"/>
  <c r="T91" i="7"/>
  <c r="U91" i="7" s="1"/>
  <c r="T51" i="7"/>
  <c r="U51" i="7" s="1"/>
  <c r="V83" i="7"/>
  <c r="W83" i="7" s="1"/>
  <c r="V69" i="7"/>
  <c r="W69" i="7" s="1"/>
  <c r="D35" i="7"/>
  <c r="C152" i="4" s="1"/>
  <c r="V68" i="7"/>
  <c r="W68" i="7" s="1"/>
  <c r="D33" i="7"/>
  <c r="C150" i="4" s="1"/>
  <c r="V54" i="7"/>
  <c r="W54" i="7" s="1"/>
  <c r="V51" i="7"/>
  <c r="W51" i="7" s="1"/>
  <c r="V53" i="7"/>
  <c r="W53" i="7" s="1"/>
  <c r="T69" i="7"/>
  <c r="U69" i="7" s="1"/>
  <c r="T68" i="7"/>
  <c r="U68" i="7" s="1"/>
  <c r="T87" i="7"/>
  <c r="U87" i="7" s="1"/>
  <c r="B204" i="4"/>
  <c r="Q205" i="4" s="1"/>
  <c r="V72" i="7"/>
  <c r="W72" i="7" s="1"/>
  <c r="B189" i="4"/>
  <c r="Q190" i="4" s="1"/>
  <c r="T65" i="7"/>
  <c r="U65" i="7" s="1"/>
  <c r="B182" i="4"/>
  <c r="Q183" i="4" s="1"/>
  <c r="V86" i="7"/>
  <c r="W86" i="7" s="1"/>
  <c r="B203" i="4"/>
  <c r="Q204" i="4" s="1"/>
  <c r="T88" i="7"/>
  <c r="U88" i="7" s="1"/>
  <c r="B205" i="4"/>
  <c r="V75" i="7"/>
  <c r="W75" i="7" s="1"/>
  <c r="B192" i="4"/>
  <c r="Q193" i="4" s="1"/>
  <c r="V74" i="7"/>
  <c r="W74" i="7" s="1"/>
  <c r="B191" i="4"/>
  <c r="Q192" i="4" s="1"/>
  <c r="T111" i="7"/>
  <c r="U111" i="7" s="1"/>
  <c r="B228" i="4"/>
  <c r="Q229" i="4" s="1"/>
  <c r="V81" i="7"/>
  <c r="W81" i="7" s="1"/>
  <c r="B198" i="4"/>
  <c r="Q199" i="4" s="1"/>
  <c r="T50" i="7"/>
  <c r="U50" i="7" s="1"/>
  <c r="B167" i="4"/>
  <c r="Q168" i="4" s="1"/>
  <c r="V43" i="7"/>
  <c r="W43" i="7" s="1"/>
  <c r="B160" i="4"/>
  <c r="Q161" i="4" s="1"/>
  <c r="T49" i="7"/>
  <c r="U49" i="7" s="1"/>
  <c r="B166" i="4"/>
  <c r="Q167" i="4" s="1"/>
  <c r="V109" i="7"/>
  <c r="W109" i="7" s="1"/>
  <c r="B226" i="4"/>
  <c r="Q227" i="4" s="1"/>
  <c r="T63" i="7"/>
  <c r="U63" i="7" s="1"/>
  <c r="B180" i="4"/>
  <c r="Q181" i="4" s="1"/>
  <c r="V62" i="7"/>
  <c r="W62" i="7" s="1"/>
  <c r="B179" i="4"/>
  <c r="Q180" i="4" s="1"/>
  <c r="V96" i="7"/>
  <c r="W96" i="7" s="1"/>
  <c r="B213" i="4"/>
  <c r="Q214" i="4" s="1"/>
  <c r="V61" i="7"/>
  <c r="W61" i="7" s="1"/>
  <c r="B178" i="4"/>
  <c r="Q179" i="4" s="1"/>
  <c r="T77" i="7"/>
  <c r="U77" i="7" s="1"/>
  <c r="B194" i="4"/>
  <c r="Q195" i="4" s="1"/>
  <c r="T100" i="7"/>
  <c r="U100" i="7" s="1"/>
  <c r="B217" i="4"/>
  <c r="Q218" i="4" s="1"/>
  <c r="T101" i="7"/>
  <c r="U101" i="7" s="1"/>
  <c r="B218" i="4"/>
  <c r="Q219" i="4" s="1"/>
  <c r="V94" i="7"/>
  <c r="W94" i="7" s="1"/>
  <c r="B211" i="4"/>
  <c r="Q212" i="4" s="1"/>
  <c r="V89" i="7"/>
  <c r="W89" i="7" s="1"/>
  <c r="B206" i="4"/>
  <c r="Q207" i="4" s="1"/>
  <c r="V52" i="7"/>
  <c r="W52" i="7" s="1"/>
  <c r="B169" i="4"/>
  <c r="Q170" i="4" s="1"/>
  <c r="T107" i="7"/>
  <c r="U107" i="7" s="1"/>
  <c r="B224" i="4"/>
  <c r="Q225" i="4" s="1"/>
  <c r="T46" i="7"/>
  <c r="U46" i="7" s="1"/>
  <c r="B163" i="4"/>
  <c r="Q164" i="4" s="1"/>
  <c r="T45" i="7"/>
  <c r="U45" i="7" s="1"/>
  <c r="B162" i="4"/>
  <c r="Q163" i="4" s="1"/>
  <c r="T64" i="7"/>
  <c r="U64" i="7" s="1"/>
  <c r="B181" i="4"/>
  <c r="Q182" i="4" s="1"/>
  <c r="T55" i="7"/>
  <c r="U55" i="7" s="1"/>
  <c r="B172" i="4"/>
  <c r="Q173" i="4" s="1"/>
  <c r="V101" i="7"/>
  <c r="W101" i="7" s="1"/>
  <c r="V79" i="7"/>
  <c r="W79" i="7" s="1"/>
  <c r="B196" i="4"/>
  <c r="Q197" i="4" s="1"/>
  <c r="V78" i="7"/>
  <c r="W78" i="7" s="1"/>
  <c r="B195" i="4"/>
  <c r="Q196" i="4" s="1"/>
  <c r="T106" i="7"/>
  <c r="U106" i="7" s="1"/>
  <c r="B223" i="4"/>
  <c r="Q224" i="4" s="1"/>
  <c r="T105" i="7"/>
  <c r="U105" i="7" s="1"/>
  <c r="B222" i="4"/>
  <c r="Q223" i="4" s="1"/>
  <c r="T95" i="7"/>
  <c r="U95" i="7" s="1"/>
  <c r="B212" i="4"/>
  <c r="Q213" i="4" s="1"/>
  <c r="T85" i="7"/>
  <c r="U85" i="7" s="1"/>
  <c r="B202" i="4"/>
  <c r="Q203" i="4" s="1"/>
  <c r="T48" i="7"/>
  <c r="U48" i="7" s="1"/>
  <c r="B165" i="4"/>
  <c r="Q166" i="4" s="1"/>
  <c r="T89" i="7"/>
  <c r="U89" i="7" s="1"/>
  <c r="V106" i="7"/>
  <c r="W106" i="7" s="1"/>
  <c r="D40" i="7"/>
  <c r="C157" i="4" s="1"/>
  <c r="V105" i="7"/>
  <c r="W105" i="7" s="1"/>
  <c r="T78" i="7"/>
  <c r="U78" i="7" s="1"/>
  <c r="C32" i="7"/>
  <c r="B149" i="4" s="1"/>
  <c r="Q150" i="4" s="1"/>
  <c r="D39" i="7"/>
  <c r="C156" i="4" s="1"/>
  <c r="V88" i="7"/>
  <c r="W88" i="7" s="1"/>
  <c r="V85" i="7"/>
  <c r="W85" i="7" s="1"/>
  <c r="D38" i="7"/>
  <c r="C155" i="4" s="1"/>
  <c r="D30" i="7"/>
  <c r="C147" i="4" s="1"/>
  <c r="D31" i="7"/>
  <c r="C148" i="4" s="1"/>
  <c r="T79" i="7"/>
  <c r="U79" i="7" s="1"/>
  <c r="V48" i="7"/>
  <c r="W48" i="7" s="1"/>
  <c r="T43" i="7"/>
  <c r="U43" i="7" s="1"/>
  <c r="V63" i="7"/>
  <c r="W63" i="7" s="1"/>
  <c r="V50" i="7"/>
  <c r="W50" i="7" s="1"/>
  <c r="T62" i="7"/>
  <c r="U62" i="7" s="1"/>
  <c r="V87" i="7"/>
  <c r="W87" i="7" s="1"/>
  <c r="T109" i="7"/>
  <c r="U109" i="7" s="1"/>
  <c r="T96" i="7"/>
  <c r="U96" i="7" s="1"/>
  <c r="V100" i="7"/>
  <c r="W100" i="7" s="1"/>
  <c r="T72" i="7"/>
  <c r="U72" i="7" s="1"/>
  <c r="T61" i="7"/>
  <c r="U61" i="7" s="1"/>
  <c r="V111" i="7"/>
  <c r="W111" i="7" s="1"/>
  <c r="V65" i="7"/>
  <c r="W65" i="7" s="1"/>
  <c r="T86" i="7"/>
  <c r="U86" i="7" s="1"/>
  <c r="T75" i="7"/>
  <c r="U75" i="7" s="1"/>
  <c r="T81" i="7"/>
  <c r="U81" i="7" s="1"/>
  <c r="V49" i="7"/>
  <c r="W49" i="7" s="1"/>
  <c r="T74" i="7"/>
  <c r="U74" i="7" s="1"/>
  <c r="V77" i="7"/>
  <c r="W77" i="7" s="1"/>
  <c r="C31" i="7"/>
  <c r="D32" i="7"/>
  <c r="C149" i="4" s="1"/>
  <c r="V46" i="7"/>
  <c r="W46" i="7" s="1"/>
  <c r="C37" i="7"/>
  <c r="V45" i="7"/>
  <c r="W45" i="7" s="1"/>
  <c r="V64" i="7"/>
  <c r="W64" i="7" s="1"/>
  <c r="V55" i="7"/>
  <c r="W55" i="7" s="1"/>
  <c r="A36" i="7"/>
  <c r="P153" i="4"/>
  <c r="F34" i="7"/>
  <c r="M36" i="7"/>
  <c r="H153" i="4" s="1"/>
  <c r="V29" i="7"/>
  <c r="W29" i="7" s="1"/>
  <c r="T29" i="7"/>
  <c r="U29" i="7" s="1"/>
  <c r="T40" i="7"/>
  <c r="U40" i="7" s="1"/>
  <c r="V40" i="7"/>
  <c r="W40" i="7" s="1"/>
  <c r="T38" i="7"/>
  <c r="U38" i="7" s="1"/>
  <c r="V38" i="7"/>
  <c r="W38" i="7" s="1"/>
  <c r="T34" i="7"/>
  <c r="U34" i="7" s="1"/>
  <c r="V34" i="7"/>
  <c r="W34" i="7" s="1"/>
  <c r="T33" i="7"/>
  <c r="U33" i="7" s="1"/>
  <c r="V33" i="7"/>
  <c r="W33" i="7" s="1"/>
  <c r="T39" i="7"/>
  <c r="U39" i="7" s="1"/>
  <c r="V39" i="7"/>
  <c r="W39" i="7" s="1"/>
  <c r="V30" i="7"/>
  <c r="W30" i="7" s="1"/>
  <c r="T30" i="7"/>
  <c r="U30" i="7" s="1"/>
  <c r="T35" i="7"/>
  <c r="U35" i="7" s="1"/>
  <c r="V35" i="7"/>
  <c r="W35" i="7" s="1"/>
  <c r="V30" i="3"/>
  <c r="W30" i="3" s="1"/>
  <c r="X30" i="3" s="1"/>
  <c r="B31" i="4"/>
  <c r="Q32" i="4" s="1"/>
  <c r="X29" i="3"/>
  <c r="X31" i="3"/>
  <c r="T31" i="3"/>
  <c r="U31" i="3" s="1"/>
  <c r="G31" i="3" s="1"/>
  <c r="B32" i="4"/>
  <c r="Q33" i="4" s="1"/>
  <c r="A33" i="3"/>
  <c r="R34" i="3" s="1"/>
  <c r="M33" i="3"/>
  <c r="H34" i="4" s="1"/>
  <c r="A33" i="4"/>
  <c r="F31" i="3"/>
  <c r="U28" i="3"/>
  <c r="G29" i="3" s="1"/>
  <c r="G30" i="3" l="1"/>
  <c r="G31" i="4" s="1"/>
  <c r="O34" i="3"/>
  <c r="J35" i="4" s="1"/>
  <c r="Q34" i="3"/>
  <c r="P35" i="4" s="1"/>
  <c r="J154" i="4"/>
  <c r="N37" i="7"/>
  <c r="I154" i="4" s="1"/>
  <c r="K37" i="7"/>
  <c r="N154" i="4" s="1"/>
  <c r="I37" i="7"/>
  <c r="L154" i="4" s="1"/>
  <c r="L37" i="7"/>
  <c r="O154" i="4" s="1"/>
  <c r="J37" i="7"/>
  <c r="M154" i="4" s="1"/>
  <c r="V31" i="7"/>
  <c r="W31" i="7" s="1"/>
  <c r="X31" i="7" s="1"/>
  <c r="L34" i="3"/>
  <c r="O35" i="4" s="1"/>
  <c r="J34" i="3"/>
  <c r="M35" i="4" s="1"/>
  <c r="N34" i="3"/>
  <c r="I35" i="4" s="1"/>
  <c r="K34" i="3"/>
  <c r="N35" i="4" s="1"/>
  <c r="I34" i="3"/>
  <c r="L35" i="4" s="1"/>
  <c r="A153" i="4"/>
  <c r="E34" i="7"/>
  <c r="D151" i="4" s="1"/>
  <c r="F151" i="4"/>
  <c r="X29" i="7"/>
  <c r="T36" i="7"/>
  <c r="U36" i="7" s="1"/>
  <c r="X33" i="7"/>
  <c r="X34" i="7"/>
  <c r="V36" i="7"/>
  <c r="W36" i="7" s="1"/>
  <c r="X36" i="7" s="1"/>
  <c r="X38" i="7"/>
  <c r="X35" i="7"/>
  <c r="V32" i="7"/>
  <c r="W32" i="7" s="1"/>
  <c r="X32" i="7" s="1"/>
  <c r="T32" i="7"/>
  <c r="U32" i="7" s="1"/>
  <c r="G33" i="7" s="1"/>
  <c r="X39" i="7"/>
  <c r="X40" i="7"/>
  <c r="T31" i="7"/>
  <c r="U31" i="7" s="1"/>
  <c r="G31" i="7" s="1"/>
  <c r="B148" i="4"/>
  <c r="Q149" i="4" s="1"/>
  <c r="T37" i="7"/>
  <c r="U37" i="7" s="1"/>
  <c r="B154" i="4"/>
  <c r="Q155" i="4" s="1"/>
  <c r="X30" i="7"/>
  <c r="G30" i="7" s="1"/>
  <c r="V37" i="7"/>
  <c r="W37" i="7" s="1"/>
  <c r="X37" i="7" s="1"/>
  <c r="A37" i="7"/>
  <c r="P154" i="4"/>
  <c r="F35" i="7"/>
  <c r="F152" i="4" s="1"/>
  <c r="M37" i="7"/>
  <c r="H154" i="4" s="1"/>
  <c r="G34" i="7"/>
  <c r="U28" i="7"/>
  <c r="G29" i="7" s="1"/>
  <c r="T32" i="3"/>
  <c r="U32" i="3" s="1"/>
  <c r="V32" i="3"/>
  <c r="W32" i="3" s="1"/>
  <c r="X32" i="3" s="1"/>
  <c r="B33" i="4"/>
  <c r="Q34" i="4" s="1"/>
  <c r="F32" i="4"/>
  <c r="E31" i="3"/>
  <c r="A34" i="3"/>
  <c r="R35" i="3" s="1"/>
  <c r="A34" i="4"/>
  <c r="M34" i="3"/>
  <c r="H35" i="4" s="1"/>
  <c r="F32" i="3"/>
  <c r="F33" i="4" s="1"/>
  <c r="G30" i="4"/>
  <c r="H29" i="3"/>
  <c r="S29" i="3" s="1"/>
  <c r="H31" i="3"/>
  <c r="G32" i="4"/>
  <c r="H30" i="3" l="1"/>
  <c r="E31" i="4" s="1"/>
  <c r="Q35" i="3"/>
  <c r="P36" i="4" s="1"/>
  <c r="O35" i="3"/>
  <c r="J36" i="4" s="1"/>
  <c r="E32" i="4"/>
  <c r="S31" i="3"/>
  <c r="J155" i="4"/>
  <c r="N38" i="7"/>
  <c r="I155" i="4" s="1"/>
  <c r="K38" i="7"/>
  <c r="N155" i="4" s="1"/>
  <c r="I38" i="7"/>
  <c r="L155" i="4" s="1"/>
  <c r="L38" i="7"/>
  <c r="O155" i="4" s="1"/>
  <c r="J38" i="7"/>
  <c r="M155" i="4" s="1"/>
  <c r="L35" i="3"/>
  <c r="O36" i="4" s="1"/>
  <c r="J35" i="3"/>
  <c r="M36" i="4" s="1"/>
  <c r="N35" i="3"/>
  <c r="I36" i="4" s="1"/>
  <c r="K35" i="3"/>
  <c r="N36" i="4" s="1"/>
  <c r="I35" i="3"/>
  <c r="L36" i="4" s="1"/>
  <c r="A154" i="4"/>
  <c r="G35" i="7"/>
  <c r="G152" i="4" s="1"/>
  <c r="H34" i="7"/>
  <c r="G151" i="4"/>
  <c r="H33" i="7"/>
  <c r="G150" i="4"/>
  <c r="H30" i="7"/>
  <c r="G147" i="4"/>
  <c r="H31" i="7"/>
  <c r="G148" i="4"/>
  <c r="H29" i="7"/>
  <c r="G146" i="4"/>
  <c r="G32" i="7"/>
  <c r="P155" i="4"/>
  <c r="F36" i="7"/>
  <c r="F153" i="4" s="1"/>
  <c r="A38" i="7"/>
  <c r="M38" i="7"/>
  <c r="H155" i="4" s="1"/>
  <c r="E35" i="7"/>
  <c r="D152" i="4" s="1"/>
  <c r="V33" i="3"/>
  <c r="W33" i="3" s="1"/>
  <c r="X33" i="3" s="1"/>
  <c r="T33" i="3"/>
  <c r="U33" i="3" s="1"/>
  <c r="B34" i="4"/>
  <c r="Q35" i="4" s="1"/>
  <c r="A35" i="3"/>
  <c r="R36" i="3" s="1"/>
  <c r="A35" i="4"/>
  <c r="F33" i="3"/>
  <c r="D32" i="4"/>
  <c r="E32" i="3"/>
  <c r="G32" i="3"/>
  <c r="E30" i="4"/>
  <c r="S30" i="3" l="1"/>
  <c r="E150" i="4"/>
  <c r="S33" i="7"/>
  <c r="E146" i="4"/>
  <c r="S29" i="7"/>
  <c r="E151" i="4"/>
  <c r="S34" i="7"/>
  <c r="E148" i="4"/>
  <c r="S31" i="7"/>
  <c r="E147" i="4"/>
  <c r="S30" i="7"/>
  <c r="O36" i="3"/>
  <c r="J37" i="4" s="1"/>
  <c r="Q36" i="3"/>
  <c r="P37" i="4" s="1"/>
  <c r="J156" i="4"/>
  <c r="N39" i="7"/>
  <c r="I156" i="4" s="1"/>
  <c r="K39" i="7"/>
  <c r="N156" i="4" s="1"/>
  <c r="I39" i="7"/>
  <c r="L156" i="4" s="1"/>
  <c r="L39" i="7"/>
  <c r="O156" i="4" s="1"/>
  <c r="J39" i="7"/>
  <c r="M156" i="4" s="1"/>
  <c r="L36" i="3"/>
  <c r="O37" i="4" s="1"/>
  <c r="J36" i="3"/>
  <c r="M37" i="4" s="1"/>
  <c r="N36" i="3"/>
  <c r="I37" i="4" s="1"/>
  <c r="K36" i="3"/>
  <c r="N37" i="4" s="1"/>
  <c r="I36" i="3"/>
  <c r="L37" i="4" s="1"/>
  <c r="A155" i="4"/>
  <c r="H35" i="7"/>
  <c r="H32" i="7"/>
  <c r="G149" i="4"/>
  <c r="A39" i="7"/>
  <c r="P156" i="4"/>
  <c r="F37" i="7"/>
  <c r="F154" i="4" s="1"/>
  <c r="M39" i="7"/>
  <c r="H156" i="4" s="1"/>
  <c r="E36" i="7"/>
  <c r="D153" i="4" s="1"/>
  <c r="G36" i="7"/>
  <c r="G33" i="4"/>
  <c r="E33" i="3"/>
  <c r="D33" i="4"/>
  <c r="T34" i="3"/>
  <c r="U34" i="3" s="1"/>
  <c r="V34" i="3"/>
  <c r="W34" i="3" s="1"/>
  <c r="X34" i="3" s="1"/>
  <c r="B35" i="4"/>
  <c r="Q36" i="4" s="1"/>
  <c r="F34" i="4"/>
  <c r="A36" i="3"/>
  <c r="R37" i="3" s="1"/>
  <c r="M36" i="3"/>
  <c r="H37" i="4" s="1"/>
  <c r="A36" i="4"/>
  <c r="F34" i="3"/>
  <c r="F35" i="4" s="1"/>
  <c r="G33" i="3"/>
  <c r="G34" i="4" s="1"/>
  <c r="H32" i="3"/>
  <c r="E149" i="4" l="1"/>
  <c r="S32" i="7"/>
  <c r="E152" i="4"/>
  <c r="S35" i="7"/>
  <c r="O37" i="3"/>
  <c r="J38" i="4" s="1"/>
  <c r="Q37" i="3"/>
  <c r="P38" i="4" s="1"/>
  <c r="E33" i="4"/>
  <c r="S32" i="3"/>
  <c r="J157" i="4"/>
  <c r="N40" i="7"/>
  <c r="I157" i="4" s="1"/>
  <c r="K40" i="7"/>
  <c r="N157" i="4" s="1"/>
  <c r="I40" i="7"/>
  <c r="L157" i="4" s="1"/>
  <c r="L40" i="7"/>
  <c r="O157" i="4" s="1"/>
  <c r="J40" i="7"/>
  <c r="M157" i="4" s="1"/>
  <c r="L37" i="3"/>
  <c r="O38" i="4" s="1"/>
  <c r="J37" i="3"/>
  <c r="M38" i="4" s="1"/>
  <c r="N37" i="3"/>
  <c r="I38" i="4" s="1"/>
  <c r="K37" i="3"/>
  <c r="N38" i="4" s="1"/>
  <c r="I37" i="3"/>
  <c r="L38" i="4" s="1"/>
  <c r="A156" i="4"/>
  <c r="H36" i="7"/>
  <c r="G153" i="4"/>
  <c r="M40" i="7"/>
  <c r="H157" i="4" s="1"/>
  <c r="A40" i="7"/>
  <c r="P157" i="4"/>
  <c r="F38" i="7"/>
  <c r="F155" i="4" s="1"/>
  <c r="E37" i="7"/>
  <c r="D154" i="4" s="1"/>
  <c r="G37" i="7"/>
  <c r="G34" i="3"/>
  <c r="G35" i="4" s="1"/>
  <c r="T35" i="3"/>
  <c r="U35" i="3" s="1"/>
  <c r="B36" i="4"/>
  <c r="Q37" i="4" s="1"/>
  <c r="V35" i="3"/>
  <c r="W35" i="3" s="1"/>
  <c r="X35" i="3" s="1"/>
  <c r="A37" i="3"/>
  <c r="R38" i="3" s="1"/>
  <c r="M37" i="3"/>
  <c r="H38" i="4" s="1"/>
  <c r="A37" i="4"/>
  <c r="F35" i="3"/>
  <c r="F36" i="4" s="1"/>
  <c r="H33" i="3"/>
  <c r="E34" i="3"/>
  <c r="D34" i="4"/>
  <c r="E153" i="4" l="1"/>
  <c r="S36" i="7"/>
  <c r="O38" i="3"/>
  <c r="Q38" i="3"/>
  <c r="P39" i="4" s="1"/>
  <c r="E34" i="4"/>
  <c r="S33" i="3"/>
  <c r="J158" i="4"/>
  <c r="N41" i="7"/>
  <c r="I158" i="4" s="1"/>
  <c r="K41" i="7"/>
  <c r="N158" i="4" s="1"/>
  <c r="I41" i="7"/>
  <c r="L158" i="4" s="1"/>
  <c r="L41" i="7"/>
  <c r="O158" i="4" s="1"/>
  <c r="J41" i="7"/>
  <c r="M158" i="4" s="1"/>
  <c r="J39" i="4"/>
  <c r="L38" i="3"/>
  <c r="O39" i="4" s="1"/>
  <c r="J38" i="3"/>
  <c r="M39" i="4" s="1"/>
  <c r="N38" i="3"/>
  <c r="I39" i="4" s="1"/>
  <c r="K38" i="3"/>
  <c r="N39" i="4" s="1"/>
  <c r="I38" i="3"/>
  <c r="L39" i="4" s="1"/>
  <c r="A157" i="4"/>
  <c r="H37" i="7"/>
  <c r="G154" i="4"/>
  <c r="A41" i="7"/>
  <c r="F39" i="7"/>
  <c r="F156" i="4" s="1"/>
  <c r="M41" i="7"/>
  <c r="H158" i="4" s="1"/>
  <c r="G38" i="7"/>
  <c r="E38" i="7"/>
  <c r="D155" i="4" s="1"/>
  <c r="H34" i="3"/>
  <c r="V36" i="3"/>
  <c r="W36" i="3" s="1"/>
  <c r="X36" i="3" s="1"/>
  <c r="T36" i="3"/>
  <c r="U36" i="3" s="1"/>
  <c r="B37" i="4"/>
  <c r="Q38" i="4" s="1"/>
  <c r="A38" i="3"/>
  <c r="R39" i="3" s="1"/>
  <c r="M38" i="3"/>
  <c r="H39" i="4" s="1"/>
  <c r="A38" i="4"/>
  <c r="F36" i="3"/>
  <c r="F37" i="4" s="1"/>
  <c r="E35" i="3"/>
  <c r="D35" i="4"/>
  <c r="G35" i="3"/>
  <c r="E154" i="4" l="1"/>
  <c r="S37" i="7"/>
  <c r="O39" i="3"/>
  <c r="Q39" i="3"/>
  <c r="E35" i="4"/>
  <c r="S34" i="3"/>
  <c r="J159" i="4"/>
  <c r="N42" i="7"/>
  <c r="I159" i="4" s="1"/>
  <c r="K42" i="7"/>
  <c r="N159" i="4" s="1"/>
  <c r="I42" i="7"/>
  <c r="L159" i="4" s="1"/>
  <c r="L42" i="7"/>
  <c r="O159" i="4" s="1"/>
  <c r="J42" i="7"/>
  <c r="M159" i="4" s="1"/>
  <c r="J40" i="4"/>
  <c r="L39" i="3"/>
  <c r="O40" i="4" s="1"/>
  <c r="J39" i="3"/>
  <c r="M40" i="4" s="1"/>
  <c r="N39" i="3"/>
  <c r="I40" i="4" s="1"/>
  <c r="K39" i="3"/>
  <c r="N40" i="4" s="1"/>
  <c r="I39" i="3"/>
  <c r="L40" i="4" s="1"/>
  <c r="A158" i="4"/>
  <c r="H38" i="7"/>
  <c r="S38" i="7" s="1"/>
  <c r="G155" i="4"/>
  <c r="E39" i="7"/>
  <c r="D156" i="4" s="1"/>
  <c r="G39" i="7"/>
  <c r="P159" i="4"/>
  <c r="F40" i="7"/>
  <c r="F157" i="4" s="1"/>
  <c r="M42" i="7"/>
  <c r="H159" i="4" s="1"/>
  <c r="A42" i="7"/>
  <c r="D41" i="7"/>
  <c r="H35" i="3"/>
  <c r="G36" i="4"/>
  <c r="D36" i="4"/>
  <c r="E36" i="3"/>
  <c r="T37" i="3"/>
  <c r="U37" i="3" s="1"/>
  <c r="B38" i="4"/>
  <c r="Q39" i="4" s="1"/>
  <c r="V37" i="3"/>
  <c r="W37" i="3" s="1"/>
  <c r="X37" i="3" s="1"/>
  <c r="A39" i="3"/>
  <c r="R40" i="3" s="1"/>
  <c r="M39" i="3"/>
  <c r="H40" i="4" s="1"/>
  <c r="A39" i="4"/>
  <c r="P40" i="4"/>
  <c r="F37" i="3"/>
  <c r="F38" i="4" s="1"/>
  <c r="G36" i="3"/>
  <c r="O40" i="3" l="1"/>
  <c r="J41" i="4" s="1"/>
  <c r="Q40" i="3"/>
  <c r="E36" i="4"/>
  <c r="S35" i="3"/>
  <c r="J160" i="4"/>
  <c r="N43" i="7"/>
  <c r="I160" i="4" s="1"/>
  <c r="K43" i="7"/>
  <c r="N160" i="4" s="1"/>
  <c r="I43" i="7"/>
  <c r="L160" i="4" s="1"/>
  <c r="L43" i="7"/>
  <c r="O160" i="4" s="1"/>
  <c r="J43" i="7"/>
  <c r="M160" i="4" s="1"/>
  <c r="L40" i="3"/>
  <c r="O41" i="4" s="1"/>
  <c r="J40" i="3"/>
  <c r="M41" i="4" s="1"/>
  <c r="N40" i="3"/>
  <c r="I41" i="4" s="1"/>
  <c r="K40" i="3"/>
  <c r="N41" i="4" s="1"/>
  <c r="I40" i="3"/>
  <c r="L41" i="4" s="1"/>
  <c r="A159" i="4"/>
  <c r="E155" i="4"/>
  <c r="H39" i="7"/>
  <c r="G156" i="4"/>
  <c r="X41" i="7"/>
  <c r="C158" i="4"/>
  <c r="M43" i="7"/>
  <c r="H160" i="4" s="1"/>
  <c r="D42" i="7"/>
  <c r="A43" i="7"/>
  <c r="P160" i="4"/>
  <c r="F41" i="7"/>
  <c r="F158" i="4" s="1"/>
  <c r="G40" i="7"/>
  <c r="E40" i="7"/>
  <c r="D157" i="4" s="1"/>
  <c r="G37" i="3"/>
  <c r="H37" i="3" s="1"/>
  <c r="G37" i="4"/>
  <c r="H36" i="3"/>
  <c r="T38" i="3"/>
  <c r="U38" i="3" s="1"/>
  <c r="V38" i="3"/>
  <c r="W38" i="3" s="1"/>
  <c r="X38" i="3" s="1"/>
  <c r="B39" i="4"/>
  <c r="Q40" i="4" s="1"/>
  <c r="A40" i="3"/>
  <c r="M40" i="3"/>
  <c r="H41" i="4" s="1"/>
  <c r="P41" i="4"/>
  <c r="A40" i="4"/>
  <c r="F38" i="3"/>
  <c r="F39" i="4" s="1"/>
  <c r="D37" i="4"/>
  <c r="E37" i="3"/>
  <c r="O41" i="3" l="1"/>
  <c r="J42" i="4" s="1"/>
  <c r="E156" i="4"/>
  <c r="S39" i="7"/>
  <c r="E38" i="4"/>
  <c r="S37" i="3"/>
  <c r="E37" i="4"/>
  <c r="S36" i="3"/>
  <c r="J161" i="4"/>
  <c r="N44" i="7"/>
  <c r="I161" i="4" s="1"/>
  <c r="K44" i="7"/>
  <c r="N161" i="4" s="1"/>
  <c r="I44" i="7"/>
  <c r="L161" i="4" s="1"/>
  <c r="L44" i="7"/>
  <c r="O161" i="4" s="1"/>
  <c r="M161" i="4"/>
  <c r="N41" i="3"/>
  <c r="I42" i="4" s="1"/>
  <c r="L41" i="3"/>
  <c r="O42" i="4" s="1"/>
  <c r="J41" i="3"/>
  <c r="M42" i="4" s="1"/>
  <c r="K41" i="3"/>
  <c r="N42" i="4" s="1"/>
  <c r="I41" i="3"/>
  <c r="L42" i="4" s="1"/>
  <c r="A160" i="4"/>
  <c r="H40" i="7"/>
  <c r="G157" i="4"/>
  <c r="X42" i="7"/>
  <c r="C159" i="4"/>
  <c r="E41" i="7"/>
  <c r="D158" i="4" s="1"/>
  <c r="G41" i="7"/>
  <c r="D43" i="7"/>
  <c r="P161" i="4"/>
  <c r="M44" i="7"/>
  <c r="H161" i="4" s="1"/>
  <c r="A44" i="7"/>
  <c r="F42" i="7"/>
  <c r="F159" i="4" s="1"/>
  <c r="G38" i="4"/>
  <c r="D38" i="4"/>
  <c r="E38" i="3"/>
  <c r="T39" i="3"/>
  <c r="U39" i="3" s="1"/>
  <c r="B40" i="4"/>
  <c r="Q41" i="4" s="1"/>
  <c r="V39" i="3"/>
  <c r="W39" i="3" s="1"/>
  <c r="X39" i="3" s="1"/>
  <c r="A41" i="3"/>
  <c r="R42" i="3" s="1"/>
  <c r="A41" i="4"/>
  <c r="M41" i="3"/>
  <c r="H42" i="4" s="1"/>
  <c r="F39" i="3"/>
  <c r="F40" i="4" s="1"/>
  <c r="G38" i="3"/>
  <c r="H38" i="3" s="1"/>
  <c r="S38" i="3" s="1"/>
  <c r="E157" i="4" l="1"/>
  <c r="S40" i="7"/>
  <c r="Q42" i="3"/>
  <c r="O42" i="3"/>
  <c r="J43" i="4" s="1"/>
  <c r="J162" i="4"/>
  <c r="N45" i="7"/>
  <c r="I162" i="4" s="1"/>
  <c r="K45" i="7"/>
  <c r="N162" i="4" s="1"/>
  <c r="I45" i="7"/>
  <c r="L162" i="4" s="1"/>
  <c r="L45" i="7"/>
  <c r="O162" i="4" s="1"/>
  <c r="J45" i="7"/>
  <c r="M162" i="4" s="1"/>
  <c r="N42" i="3"/>
  <c r="I43" i="4" s="1"/>
  <c r="L42" i="3"/>
  <c r="O43" i="4" s="1"/>
  <c r="J42" i="3"/>
  <c r="M43" i="4" s="1"/>
  <c r="K42" i="3"/>
  <c r="N43" i="4" s="1"/>
  <c r="I42" i="3"/>
  <c r="L43" i="4" s="1"/>
  <c r="A161" i="4"/>
  <c r="H41" i="7"/>
  <c r="G158" i="4"/>
  <c r="X43" i="7"/>
  <c r="C160" i="4"/>
  <c r="D44" i="7"/>
  <c r="P162" i="4"/>
  <c r="F43" i="7"/>
  <c r="F160" i="4" s="1"/>
  <c r="M45" i="7"/>
  <c r="H162" i="4" s="1"/>
  <c r="A45" i="7"/>
  <c r="G42" i="7"/>
  <c r="E42" i="7"/>
  <c r="D159" i="4" s="1"/>
  <c r="G39" i="3"/>
  <c r="G40" i="4" s="1"/>
  <c r="D41" i="3"/>
  <c r="C42" i="4" s="1"/>
  <c r="G39" i="4"/>
  <c r="E39" i="4"/>
  <c r="T40" i="3"/>
  <c r="U40" i="3" s="1"/>
  <c r="V40" i="3"/>
  <c r="W40" i="3" s="1"/>
  <c r="X40" i="3" s="1"/>
  <c r="B41" i="4"/>
  <c r="Q42" i="4" s="1"/>
  <c r="A42" i="3"/>
  <c r="R43" i="3" s="1"/>
  <c r="M42" i="3"/>
  <c r="H43" i="4" s="1"/>
  <c r="A42" i="4"/>
  <c r="P43" i="4"/>
  <c r="F40" i="3"/>
  <c r="F41" i="4" s="1"/>
  <c r="D39" i="4"/>
  <c r="E39" i="3"/>
  <c r="E158" i="4" l="1"/>
  <c r="S41" i="7"/>
  <c r="Q43" i="3"/>
  <c r="P44" i="4" s="1"/>
  <c r="O43" i="3"/>
  <c r="J44" i="4" s="1"/>
  <c r="J163" i="4"/>
  <c r="N46" i="7"/>
  <c r="I163" i="4" s="1"/>
  <c r="K46" i="7"/>
  <c r="N163" i="4" s="1"/>
  <c r="I46" i="7"/>
  <c r="L163" i="4" s="1"/>
  <c r="L46" i="7"/>
  <c r="O163" i="4" s="1"/>
  <c r="J46" i="7"/>
  <c r="M163" i="4" s="1"/>
  <c r="N43" i="3"/>
  <c r="I44" i="4" s="1"/>
  <c r="L43" i="3"/>
  <c r="O44" i="4" s="1"/>
  <c r="J43" i="3"/>
  <c r="M44" i="4" s="1"/>
  <c r="K43" i="3"/>
  <c r="N44" i="4" s="1"/>
  <c r="I43" i="3"/>
  <c r="L44" i="4" s="1"/>
  <c r="A162" i="4"/>
  <c r="P158" i="4"/>
  <c r="H42" i="7"/>
  <c r="G159" i="4"/>
  <c r="X44" i="7"/>
  <c r="C161" i="4"/>
  <c r="D45" i="7"/>
  <c r="P163" i="4"/>
  <c r="F44" i="7"/>
  <c r="F161" i="4" s="1"/>
  <c r="M46" i="7"/>
  <c r="H163" i="4" s="1"/>
  <c r="A46" i="7"/>
  <c r="G43" i="7"/>
  <c r="E43" i="7"/>
  <c r="D160" i="4" s="1"/>
  <c r="H39" i="3"/>
  <c r="D42" i="3"/>
  <c r="E40" i="3"/>
  <c r="D40" i="4"/>
  <c r="T41" i="3"/>
  <c r="U41" i="3" s="1"/>
  <c r="V41" i="3"/>
  <c r="W41" i="3" s="1"/>
  <c r="X41" i="3" s="1"/>
  <c r="B42" i="4"/>
  <c r="Q43" i="4" s="1"/>
  <c r="A43" i="3"/>
  <c r="R44" i="3" s="1"/>
  <c r="A43" i="4"/>
  <c r="M43" i="3"/>
  <c r="H44" i="4" s="1"/>
  <c r="F41" i="3"/>
  <c r="F42" i="4" s="1"/>
  <c r="G40" i="3"/>
  <c r="E159" i="4" l="1"/>
  <c r="S42" i="7"/>
  <c r="Q44" i="3"/>
  <c r="O44" i="3"/>
  <c r="J45" i="4" s="1"/>
  <c r="E40" i="4"/>
  <c r="S39" i="3"/>
  <c r="J164" i="4"/>
  <c r="N47" i="7"/>
  <c r="I164" i="4" s="1"/>
  <c r="K47" i="7"/>
  <c r="N164" i="4" s="1"/>
  <c r="I47" i="7"/>
  <c r="L164" i="4" s="1"/>
  <c r="L47" i="7"/>
  <c r="O164" i="4" s="1"/>
  <c r="J47" i="7"/>
  <c r="M164" i="4" s="1"/>
  <c r="N44" i="3"/>
  <c r="I45" i="4" s="1"/>
  <c r="L44" i="3"/>
  <c r="O45" i="4" s="1"/>
  <c r="J44" i="3"/>
  <c r="M45" i="4" s="1"/>
  <c r="K44" i="3"/>
  <c r="N45" i="4" s="1"/>
  <c r="I44" i="3"/>
  <c r="L45" i="4" s="1"/>
  <c r="A163" i="4"/>
  <c r="H43" i="7"/>
  <c r="G160" i="4"/>
  <c r="X45" i="7"/>
  <c r="C162" i="4"/>
  <c r="E44" i="7"/>
  <c r="D161" i="4" s="1"/>
  <c r="G44" i="7"/>
  <c r="D46" i="7"/>
  <c r="M47" i="7"/>
  <c r="H164" i="4" s="1"/>
  <c r="A47" i="7"/>
  <c r="P164" i="4"/>
  <c r="F45" i="7"/>
  <c r="F162" i="4" s="1"/>
  <c r="D43" i="3"/>
  <c r="C44" i="4" s="1"/>
  <c r="G41" i="3"/>
  <c r="R41" i="3" s="1"/>
  <c r="C43" i="4"/>
  <c r="V42" i="3"/>
  <c r="W42" i="3" s="1"/>
  <c r="X42" i="3" s="1"/>
  <c r="T42" i="3"/>
  <c r="U42" i="3" s="1"/>
  <c r="B43" i="4"/>
  <c r="Q44" i="4" s="1"/>
  <c r="A44" i="3"/>
  <c r="R45" i="3" s="1"/>
  <c r="P45" i="4"/>
  <c r="M44" i="3"/>
  <c r="H45" i="4" s="1"/>
  <c r="A44" i="4"/>
  <c r="F42" i="3"/>
  <c r="F43" i="4" s="1"/>
  <c r="H40" i="3"/>
  <c r="S40" i="3" s="1"/>
  <c r="G41" i="4"/>
  <c r="E41" i="3"/>
  <c r="D41" i="4"/>
  <c r="Q41" i="3" l="1"/>
  <c r="E160" i="4"/>
  <c r="S43" i="7"/>
  <c r="O45" i="3"/>
  <c r="J46" i="4" s="1"/>
  <c r="Q45" i="3"/>
  <c r="P46" i="4" s="1"/>
  <c r="J165" i="4"/>
  <c r="N48" i="7"/>
  <c r="I165" i="4" s="1"/>
  <c r="K48" i="7"/>
  <c r="N165" i="4" s="1"/>
  <c r="I48" i="7"/>
  <c r="L165" i="4" s="1"/>
  <c r="L48" i="7"/>
  <c r="O165" i="4" s="1"/>
  <c r="J48" i="7"/>
  <c r="M165" i="4" s="1"/>
  <c r="N45" i="3"/>
  <c r="I46" i="4" s="1"/>
  <c r="L45" i="3"/>
  <c r="O46" i="4" s="1"/>
  <c r="J45" i="3"/>
  <c r="M46" i="4" s="1"/>
  <c r="K45" i="3"/>
  <c r="N46" i="4" s="1"/>
  <c r="I45" i="3"/>
  <c r="L46" i="4" s="1"/>
  <c r="A164" i="4"/>
  <c r="H44" i="7"/>
  <c r="G161" i="4"/>
  <c r="X46" i="7"/>
  <c r="C163" i="4"/>
  <c r="M48" i="7"/>
  <c r="H165" i="4" s="1"/>
  <c r="D47" i="7"/>
  <c r="A48" i="7"/>
  <c r="F46" i="7"/>
  <c r="F163" i="4" s="1"/>
  <c r="E45" i="7"/>
  <c r="D162" i="4" s="1"/>
  <c r="G45" i="7"/>
  <c r="D44" i="3"/>
  <c r="G42" i="4"/>
  <c r="E41" i="4"/>
  <c r="H41" i="3"/>
  <c r="A45" i="3"/>
  <c r="R46" i="3" s="1"/>
  <c r="A45" i="4"/>
  <c r="M45" i="3"/>
  <c r="H46" i="4" s="1"/>
  <c r="F43" i="3"/>
  <c r="F44" i="4" s="1"/>
  <c r="G42" i="3"/>
  <c r="D42" i="4"/>
  <c r="E42" i="3"/>
  <c r="B44" i="4"/>
  <c r="Q45" i="4" s="1"/>
  <c r="T43" i="3"/>
  <c r="U43" i="3" s="1"/>
  <c r="V43" i="3"/>
  <c r="W43" i="3" s="1"/>
  <c r="X43" i="3" s="1"/>
  <c r="S41" i="3" l="1"/>
  <c r="E161" i="4"/>
  <c r="S44" i="7"/>
  <c r="O46" i="3"/>
  <c r="J47" i="4" s="1"/>
  <c r="Q46" i="3"/>
  <c r="P47" i="4" s="1"/>
  <c r="J166" i="4"/>
  <c r="N49" i="7"/>
  <c r="I166" i="4" s="1"/>
  <c r="K49" i="7"/>
  <c r="N166" i="4" s="1"/>
  <c r="I49" i="7"/>
  <c r="L166" i="4" s="1"/>
  <c r="L49" i="7"/>
  <c r="O166" i="4" s="1"/>
  <c r="J49" i="7"/>
  <c r="M166" i="4" s="1"/>
  <c r="N46" i="3"/>
  <c r="I47" i="4" s="1"/>
  <c r="L46" i="3"/>
  <c r="O47" i="4" s="1"/>
  <c r="J46" i="3"/>
  <c r="M47" i="4" s="1"/>
  <c r="K46" i="3"/>
  <c r="N47" i="4" s="1"/>
  <c r="I46" i="3"/>
  <c r="L47" i="4" s="1"/>
  <c r="A165" i="4"/>
  <c r="P165" i="4"/>
  <c r="P42" i="4"/>
  <c r="H45" i="7"/>
  <c r="G162" i="4"/>
  <c r="X47" i="7"/>
  <c r="C164" i="4"/>
  <c r="P166" i="4"/>
  <c r="F47" i="7"/>
  <c r="F164" i="4" s="1"/>
  <c r="M49" i="7"/>
  <c r="H166" i="4" s="1"/>
  <c r="D48" i="7"/>
  <c r="A49" i="7"/>
  <c r="G46" i="7"/>
  <c r="E46" i="7"/>
  <c r="D163" i="4" s="1"/>
  <c r="G43" i="3"/>
  <c r="G44" i="4" s="1"/>
  <c r="D45" i="3"/>
  <c r="C46" i="4" s="1"/>
  <c r="E42" i="4"/>
  <c r="D43" i="4"/>
  <c r="E43" i="3"/>
  <c r="G43" i="4"/>
  <c r="H42" i="3"/>
  <c r="C45" i="4"/>
  <c r="T44" i="3"/>
  <c r="U44" i="3" s="1"/>
  <c r="G44" i="3" s="1"/>
  <c r="G45" i="4" s="1"/>
  <c r="B45" i="4"/>
  <c r="Q46" i="4" s="1"/>
  <c r="V44" i="3"/>
  <c r="W44" i="3" s="1"/>
  <c r="X44" i="3" s="1"/>
  <c r="A46" i="3"/>
  <c r="R47" i="3" s="1"/>
  <c r="A46" i="4"/>
  <c r="M46" i="3"/>
  <c r="H47" i="4" s="1"/>
  <c r="F44" i="3"/>
  <c r="F45" i="4" s="1"/>
  <c r="E162" i="4" l="1"/>
  <c r="S45" i="7"/>
  <c r="O47" i="3"/>
  <c r="J48" i="4" s="1"/>
  <c r="Q47" i="3"/>
  <c r="E43" i="4"/>
  <c r="S42" i="3"/>
  <c r="J167" i="4"/>
  <c r="N50" i="7"/>
  <c r="I167" i="4" s="1"/>
  <c r="K50" i="7"/>
  <c r="N167" i="4" s="1"/>
  <c r="I50" i="7"/>
  <c r="L167" i="4" s="1"/>
  <c r="L50" i="7"/>
  <c r="O167" i="4" s="1"/>
  <c r="J50" i="7"/>
  <c r="M167" i="4" s="1"/>
  <c r="N47" i="3"/>
  <c r="I48" i="4" s="1"/>
  <c r="L47" i="3"/>
  <c r="O48" i="4" s="1"/>
  <c r="J47" i="3"/>
  <c r="M48" i="4" s="1"/>
  <c r="K47" i="3"/>
  <c r="N48" i="4" s="1"/>
  <c r="I47" i="3"/>
  <c r="L48" i="4" s="1"/>
  <c r="A166" i="4"/>
  <c r="H46" i="7"/>
  <c r="G163" i="4"/>
  <c r="X48" i="7"/>
  <c r="C165" i="4"/>
  <c r="E47" i="7"/>
  <c r="D164" i="4" s="1"/>
  <c r="G47" i="7"/>
  <c r="A50" i="7"/>
  <c r="D49" i="7"/>
  <c r="P167" i="4"/>
  <c r="F48" i="7"/>
  <c r="F165" i="4" s="1"/>
  <c r="M50" i="7"/>
  <c r="H167" i="4" s="1"/>
  <c r="H43" i="3"/>
  <c r="D46" i="3"/>
  <c r="H44" i="3"/>
  <c r="T45" i="3"/>
  <c r="U45" i="3" s="1"/>
  <c r="B46" i="4"/>
  <c r="Q47" i="4" s="1"/>
  <c r="V45" i="3"/>
  <c r="W45" i="3" s="1"/>
  <c r="X45" i="3" s="1"/>
  <c r="A47" i="3"/>
  <c r="R48" i="3" s="1"/>
  <c r="A47" i="4"/>
  <c r="M47" i="3"/>
  <c r="H48" i="4" s="1"/>
  <c r="F45" i="3"/>
  <c r="F46" i="4" s="1"/>
  <c r="E44" i="3"/>
  <c r="D44" i="4"/>
  <c r="E163" i="4" l="1"/>
  <c r="S46" i="7"/>
  <c r="O48" i="3"/>
  <c r="Q48" i="3"/>
  <c r="P49" i="4" s="1"/>
  <c r="E45" i="4"/>
  <c r="S44" i="3"/>
  <c r="E44" i="4"/>
  <c r="S43" i="3"/>
  <c r="J168" i="4"/>
  <c r="N51" i="7"/>
  <c r="I168" i="4" s="1"/>
  <c r="K51" i="7"/>
  <c r="N168" i="4" s="1"/>
  <c r="I51" i="7"/>
  <c r="L168" i="4" s="1"/>
  <c r="L51" i="7"/>
  <c r="O168" i="4" s="1"/>
  <c r="J51" i="7"/>
  <c r="M168" i="4" s="1"/>
  <c r="J49" i="4"/>
  <c r="N48" i="3"/>
  <c r="I49" i="4" s="1"/>
  <c r="L48" i="3"/>
  <c r="O49" i="4" s="1"/>
  <c r="J48" i="3"/>
  <c r="M49" i="4" s="1"/>
  <c r="K48" i="3"/>
  <c r="N49" i="4" s="1"/>
  <c r="I48" i="3"/>
  <c r="L49" i="4" s="1"/>
  <c r="A167" i="4"/>
  <c r="P48" i="4"/>
  <c r="H47" i="7"/>
  <c r="G164" i="4"/>
  <c r="X49" i="7"/>
  <c r="C166" i="4"/>
  <c r="G48" i="7"/>
  <c r="E48" i="7"/>
  <c r="D165" i="4" s="1"/>
  <c r="D50" i="7"/>
  <c r="A51" i="7"/>
  <c r="F49" i="7"/>
  <c r="F166" i="4" s="1"/>
  <c r="M51" i="7"/>
  <c r="H168" i="4" s="1"/>
  <c r="D47" i="3"/>
  <c r="C48" i="4" s="1"/>
  <c r="V46" i="3"/>
  <c r="W46" i="3" s="1"/>
  <c r="X46" i="3" s="1"/>
  <c r="T46" i="3"/>
  <c r="U46" i="3" s="1"/>
  <c r="B47" i="4"/>
  <c r="Q48" i="4" s="1"/>
  <c r="A48" i="3"/>
  <c r="R49" i="3" s="1"/>
  <c r="A48" i="4"/>
  <c r="M48" i="3"/>
  <c r="H49" i="4" s="1"/>
  <c r="F46" i="3"/>
  <c r="F47" i="4" s="1"/>
  <c r="E45" i="3"/>
  <c r="D45" i="4"/>
  <c r="C47" i="4"/>
  <c r="G45" i="3"/>
  <c r="E164" i="4" l="1"/>
  <c r="S47" i="7"/>
  <c r="Q49" i="3"/>
  <c r="O49" i="3"/>
  <c r="J50" i="4" s="1"/>
  <c r="J169" i="4"/>
  <c r="N52" i="7"/>
  <c r="I169" i="4" s="1"/>
  <c r="K52" i="7"/>
  <c r="N169" i="4" s="1"/>
  <c r="I52" i="7"/>
  <c r="L169" i="4" s="1"/>
  <c r="L52" i="7"/>
  <c r="O169" i="4" s="1"/>
  <c r="J52" i="7"/>
  <c r="M169" i="4" s="1"/>
  <c r="N49" i="3"/>
  <c r="I50" i="4" s="1"/>
  <c r="L49" i="3"/>
  <c r="O50" i="4" s="1"/>
  <c r="J49" i="3"/>
  <c r="M50" i="4" s="1"/>
  <c r="K49" i="3"/>
  <c r="N50" i="4" s="1"/>
  <c r="I49" i="3"/>
  <c r="L50" i="4" s="1"/>
  <c r="A168" i="4"/>
  <c r="P168" i="4"/>
  <c r="H48" i="7"/>
  <c r="G165" i="4"/>
  <c r="X50" i="7"/>
  <c r="C167" i="4"/>
  <c r="P169" i="4"/>
  <c r="F50" i="7"/>
  <c r="F167" i="4" s="1"/>
  <c r="M52" i="7"/>
  <c r="H169" i="4" s="1"/>
  <c r="D51" i="7"/>
  <c r="A52" i="7"/>
  <c r="G49" i="7"/>
  <c r="E49" i="7"/>
  <c r="D166" i="4" s="1"/>
  <c r="D48" i="3"/>
  <c r="A49" i="3"/>
  <c r="R50" i="3" s="1"/>
  <c r="M49" i="3"/>
  <c r="H50" i="4" s="1"/>
  <c r="A49" i="4"/>
  <c r="F47" i="3"/>
  <c r="F48" i="4" s="1"/>
  <c r="G46" i="3"/>
  <c r="G46" i="4"/>
  <c r="H45" i="3"/>
  <c r="E46" i="3"/>
  <c r="D46" i="4"/>
  <c r="B48" i="4"/>
  <c r="Q49" i="4" s="1"/>
  <c r="T47" i="3"/>
  <c r="U47" i="3" s="1"/>
  <c r="V47" i="3"/>
  <c r="W47" i="3" s="1"/>
  <c r="X47" i="3" s="1"/>
  <c r="E165" i="4" l="1"/>
  <c r="S48" i="7"/>
  <c r="Q50" i="3"/>
  <c r="P51" i="4" s="1"/>
  <c r="O50" i="3"/>
  <c r="J51" i="4" s="1"/>
  <c r="E46" i="4"/>
  <c r="S45" i="3"/>
  <c r="J170" i="4"/>
  <c r="N53" i="7"/>
  <c r="I170" i="4" s="1"/>
  <c r="K53" i="7"/>
  <c r="N170" i="4" s="1"/>
  <c r="I53" i="7"/>
  <c r="L170" i="4" s="1"/>
  <c r="L53" i="7"/>
  <c r="O170" i="4" s="1"/>
  <c r="J53" i="7"/>
  <c r="M170" i="4" s="1"/>
  <c r="N50" i="3"/>
  <c r="I51" i="4" s="1"/>
  <c r="L50" i="3"/>
  <c r="O51" i="4" s="1"/>
  <c r="J50" i="3"/>
  <c r="M51" i="4" s="1"/>
  <c r="K50" i="3"/>
  <c r="N51" i="4" s="1"/>
  <c r="I50" i="3"/>
  <c r="L51" i="4" s="1"/>
  <c r="A169" i="4"/>
  <c r="H49" i="7"/>
  <c r="G166" i="4"/>
  <c r="X51" i="7"/>
  <c r="C168" i="4"/>
  <c r="E50" i="7"/>
  <c r="D167" i="4" s="1"/>
  <c r="G50" i="7"/>
  <c r="A53" i="7"/>
  <c r="D52" i="7"/>
  <c r="F51" i="7"/>
  <c r="F168" i="4" s="1"/>
  <c r="M53" i="7"/>
  <c r="H170" i="4" s="1"/>
  <c r="G47" i="3"/>
  <c r="G48" i="4" s="1"/>
  <c r="D49" i="3"/>
  <c r="C50" i="4" s="1"/>
  <c r="H46" i="3"/>
  <c r="S46" i="3" s="1"/>
  <c r="G47" i="4"/>
  <c r="C49" i="4"/>
  <c r="D47" i="4"/>
  <c r="E47" i="3"/>
  <c r="B49" i="4"/>
  <c r="Q50" i="4" s="1"/>
  <c r="V48" i="3"/>
  <c r="W48" i="3" s="1"/>
  <c r="X48" i="3" s="1"/>
  <c r="T48" i="3"/>
  <c r="U48" i="3" s="1"/>
  <c r="A50" i="3"/>
  <c r="R51" i="3" s="1"/>
  <c r="M50" i="3"/>
  <c r="H51" i="4" s="1"/>
  <c r="A50" i="4"/>
  <c r="F48" i="3"/>
  <c r="F49" i="4" s="1"/>
  <c r="E166" i="4" l="1"/>
  <c r="S49" i="7"/>
  <c r="Q51" i="3"/>
  <c r="O51" i="3"/>
  <c r="J52" i="4" s="1"/>
  <c r="J171" i="4"/>
  <c r="N54" i="7"/>
  <c r="I171" i="4" s="1"/>
  <c r="K54" i="7"/>
  <c r="N171" i="4" s="1"/>
  <c r="I54" i="7"/>
  <c r="L171" i="4" s="1"/>
  <c r="L54" i="7"/>
  <c r="O171" i="4" s="1"/>
  <c r="J54" i="7"/>
  <c r="M171" i="4" s="1"/>
  <c r="N51" i="3"/>
  <c r="I52" i="4" s="1"/>
  <c r="L51" i="3"/>
  <c r="O52" i="4" s="1"/>
  <c r="J51" i="3"/>
  <c r="M52" i="4" s="1"/>
  <c r="K51" i="3"/>
  <c r="N52" i="4" s="1"/>
  <c r="I51" i="3"/>
  <c r="L52" i="4" s="1"/>
  <c r="A170" i="4"/>
  <c r="H50" i="7"/>
  <c r="S50" i="7" s="1"/>
  <c r="G167" i="4"/>
  <c r="X52" i="7"/>
  <c r="C169" i="4"/>
  <c r="P171" i="4"/>
  <c r="F52" i="7"/>
  <c r="F169" i="4" s="1"/>
  <c r="M54" i="7"/>
  <c r="H171" i="4" s="1"/>
  <c r="A54" i="7"/>
  <c r="D53" i="7"/>
  <c r="E51" i="7"/>
  <c r="D168" i="4" s="1"/>
  <c r="G51" i="7"/>
  <c r="H47" i="3"/>
  <c r="E47" i="4"/>
  <c r="G48" i="3"/>
  <c r="G49" i="4" s="1"/>
  <c r="D50" i="3"/>
  <c r="T49" i="3"/>
  <c r="U49" i="3" s="1"/>
  <c r="B50" i="4"/>
  <c r="Q51" i="4" s="1"/>
  <c r="V49" i="3"/>
  <c r="W49" i="3" s="1"/>
  <c r="X49" i="3" s="1"/>
  <c r="A51" i="3"/>
  <c r="R52" i="3" s="1"/>
  <c r="M51" i="3"/>
  <c r="H52" i="4" s="1"/>
  <c r="A51" i="4"/>
  <c r="P52" i="4"/>
  <c r="F49" i="3"/>
  <c r="F50" i="4" s="1"/>
  <c r="E48" i="3"/>
  <c r="D48" i="4"/>
  <c r="O52" i="3" l="1"/>
  <c r="J53" i="4" s="1"/>
  <c r="Q52" i="3"/>
  <c r="E48" i="4"/>
  <c r="S47" i="3"/>
  <c r="J172" i="4"/>
  <c r="N55" i="7"/>
  <c r="I172" i="4" s="1"/>
  <c r="K55" i="7"/>
  <c r="N172" i="4" s="1"/>
  <c r="I55" i="7"/>
  <c r="L172" i="4" s="1"/>
  <c r="L55" i="7"/>
  <c r="O172" i="4" s="1"/>
  <c r="J55" i="7"/>
  <c r="M172" i="4" s="1"/>
  <c r="N52" i="3"/>
  <c r="I53" i="4" s="1"/>
  <c r="L52" i="3"/>
  <c r="O53" i="4" s="1"/>
  <c r="J52" i="3"/>
  <c r="M53" i="4" s="1"/>
  <c r="K52" i="3"/>
  <c r="N53" i="4" s="1"/>
  <c r="I52" i="3"/>
  <c r="L53" i="4" s="1"/>
  <c r="A171" i="4"/>
  <c r="E167" i="4"/>
  <c r="H51" i="7"/>
  <c r="G168" i="4"/>
  <c r="X53" i="7"/>
  <c r="C170" i="4"/>
  <c r="A55" i="7"/>
  <c r="D54" i="7"/>
  <c r="P172" i="4"/>
  <c r="F53" i="7"/>
  <c r="F170" i="4" s="1"/>
  <c r="M55" i="7"/>
  <c r="H172" i="4" s="1"/>
  <c r="G52" i="7"/>
  <c r="E52" i="7"/>
  <c r="D169" i="4" s="1"/>
  <c r="H48" i="3"/>
  <c r="S48" i="3" s="1"/>
  <c r="D51" i="3"/>
  <c r="V50" i="3"/>
  <c r="W50" i="3" s="1"/>
  <c r="X50" i="3" s="1"/>
  <c r="T50" i="3"/>
  <c r="U50" i="3" s="1"/>
  <c r="B51" i="4"/>
  <c r="Q52" i="4" s="1"/>
  <c r="A52" i="3"/>
  <c r="M52" i="3"/>
  <c r="H53" i="4" s="1"/>
  <c r="P53" i="4"/>
  <c r="A52" i="4"/>
  <c r="F50" i="3"/>
  <c r="F51" i="4" s="1"/>
  <c r="E49" i="3"/>
  <c r="D49" i="4"/>
  <c r="C51" i="4"/>
  <c r="G49" i="3"/>
  <c r="O53" i="3" l="1"/>
  <c r="J54" i="4" s="1"/>
  <c r="R53" i="3"/>
  <c r="E168" i="4"/>
  <c r="S51" i="7"/>
  <c r="Q53" i="3"/>
  <c r="J173" i="4"/>
  <c r="N56" i="7"/>
  <c r="I173" i="4" s="1"/>
  <c r="K56" i="7"/>
  <c r="N173" i="4" s="1"/>
  <c r="I56" i="7"/>
  <c r="L173" i="4" s="1"/>
  <c r="L56" i="7"/>
  <c r="O173" i="4" s="1"/>
  <c r="J56" i="7"/>
  <c r="M173" i="4" s="1"/>
  <c r="N53" i="3"/>
  <c r="I54" i="4" s="1"/>
  <c r="L53" i="3"/>
  <c r="O54" i="4" s="1"/>
  <c r="J53" i="3"/>
  <c r="M54" i="4" s="1"/>
  <c r="K53" i="3"/>
  <c r="N54" i="4" s="1"/>
  <c r="I53" i="3"/>
  <c r="L54" i="4" s="1"/>
  <c r="A172" i="4"/>
  <c r="D52" i="3"/>
  <c r="H52" i="7"/>
  <c r="G169" i="4"/>
  <c r="X54" i="7"/>
  <c r="C171" i="4"/>
  <c r="E53" i="7"/>
  <c r="D170" i="4" s="1"/>
  <c r="G53" i="7"/>
  <c r="D55" i="7"/>
  <c r="A56" i="7"/>
  <c r="P173" i="4"/>
  <c r="F54" i="7"/>
  <c r="F171" i="4" s="1"/>
  <c r="M56" i="7"/>
  <c r="H173" i="4" s="1"/>
  <c r="E49" i="4"/>
  <c r="A53" i="3"/>
  <c r="R54" i="3" s="1"/>
  <c r="A53" i="4"/>
  <c r="M53" i="3"/>
  <c r="H54" i="4" s="1"/>
  <c r="F51" i="3"/>
  <c r="F52" i="4" s="1"/>
  <c r="G50" i="3"/>
  <c r="H49" i="3"/>
  <c r="G50" i="4"/>
  <c r="D50" i="4"/>
  <c r="E50" i="3"/>
  <c r="T51" i="3"/>
  <c r="U51" i="3" s="1"/>
  <c r="B52" i="4"/>
  <c r="Q53" i="4" s="1"/>
  <c r="V51" i="3"/>
  <c r="W51" i="3" s="1"/>
  <c r="X51" i="3" s="1"/>
  <c r="C52" i="4"/>
  <c r="E169" i="4" l="1"/>
  <c r="S52" i="7"/>
  <c r="O54" i="3"/>
  <c r="J55" i="4" s="1"/>
  <c r="Q54" i="3"/>
  <c r="E50" i="4"/>
  <c r="S49" i="3"/>
  <c r="J174" i="4"/>
  <c r="N57" i="7"/>
  <c r="I174" i="4" s="1"/>
  <c r="K57" i="7"/>
  <c r="N174" i="4" s="1"/>
  <c r="I57" i="7"/>
  <c r="L174" i="4" s="1"/>
  <c r="L57" i="7"/>
  <c r="O174" i="4" s="1"/>
  <c r="J57" i="7"/>
  <c r="M174" i="4" s="1"/>
  <c r="N54" i="3"/>
  <c r="I55" i="4" s="1"/>
  <c r="L54" i="3"/>
  <c r="O55" i="4" s="1"/>
  <c r="J54" i="3"/>
  <c r="M55" i="4" s="1"/>
  <c r="K54" i="3"/>
  <c r="N55" i="4" s="1"/>
  <c r="I54" i="3"/>
  <c r="L55" i="4" s="1"/>
  <c r="A173" i="4"/>
  <c r="P50" i="4"/>
  <c r="P170" i="4"/>
  <c r="H53" i="7"/>
  <c r="G170" i="4"/>
  <c r="X55" i="7"/>
  <c r="C172" i="4"/>
  <c r="M57" i="7"/>
  <c r="H174" i="4" s="1"/>
  <c r="D56" i="7"/>
  <c r="A57" i="7"/>
  <c r="P174" i="4"/>
  <c r="F55" i="7"/>
  <c r="F172" i="4" s="1"/>
  <c r="G54" i="7"/>
  <c r="E54" i="7"/>
  <c r="D171" i="4" s="1"/>
  <c r="D53" i="3"/>
  <c r="D51" i="4"/>
  <c r="E51" i="3"/>
  <c r="H50" i="3"/>
  <c r="G51" i="4"/>
  <c r="T52" i="3"/>
  <c r="U52" i="3" s="1"/>
  <c r="V52" i="3"/>
  <c r="W52" i="3" s="1"/>
  <c r="X52" i="3" s="1"/>
  <c r="B53" i="4"/>
  <c r="Q54" i="4" s="1"/>
  <c r="A54" i="3"/>
  <c r="R55" i="3" s="1"/>
  <c r="A54" i="4"/>
  <c r="M54" i="3"/>
  <c r="H55" i="4" s="1"/>
  <c r="F52" i="3"/>
  <c r="F53" i="4" s="1"/>
  <c r="G51" i="3"/>
  <c r="C53" i="4"/>
  <c r="E170" i="4" l="1"/>
  <c r="S53" i="7"/>
  <c r="O55" i="3"/>
  <c r="J56" i="4" s="1"/>
  <c r="Q55" i="3"/>
  <c r="P56" i="4" s="1"/>
  <c r="E51" i="4"/>
  <c r="S50" i="3"/>
  <c r="J175" i="4"/>
  <c r="N58" i="7"/>
  <c r="I175" i="4" s="1"/>
  <c r="K58" i="7"/>
  <c r="N175" i="4" s="1"/>
  <c r="I58" i="7"/>
  <c r="L175" i="4" s="1"/>
  <c r="L58" i="7"/>
  <c r="O175" i="4" s="1"/>
  <c r="J58" i="7"/>
  <c r="M175" i="4" s="1"/>
  <c r="N55" i="3"/>
  <c r="I56" i="4" s="1"/>
  <c r="L55" i="3"/>
  <c r="O56" i="4" s="1"/>
  <c r="J55" i="3"/>
  <c r="M56" i="4" s="1"/>
  <c r="K55" i="3"/>
  <c r="N56" i="4" s="1"/>
  <c r="I55" i="3"/>
  <c r="L56" i="4" s="1"/>
  <c r="A174" i="4"/>
  <c r="H54" i="7"/>
  <c r="G171" i="4"/>
  <c r="X56" i="7"/>
  <c r="C173" i="4"/>
  <c r="E55" i="7"/>
  <c r="D172" i="4" s="1"/>
  <c r="G55" i="7"/>
  <c r="M58" i="7"/>
  <c r="H175" i="4" s="1"/>
  <c r="D57" i="7"/>
  <c r="P175" i="4"/>
  <c r="F56" i="7"/>
  <c r="F173" i="4" s="1"/>
  <c r="A58" i="7"/>
  <c r="G52" i="3"/>
  <c r="G53" i="4" s="1"/>
  <c r="D54" i="3"/>
  <c r="G52" i="4"/>
  <c r="H51" i="3"/>
  <c r="S51" i="3" s="1"/>
  <c r="V53" i="3"/>
  <c r="W53" i="3" s="1"/>
  <c r="X53" i="3" s="1"/>
  <c r="T53" i="3"/>
  <c r="U53" i="3" s="1"/>
  <c r="B54" i="4"/>
  <c r="Q55" i="4" s="1"/>
  <c r="C54" i="4"/>
  <c r="A55" i="3"/>
  <c r="R56" i="3" s="1"/>
  <c r="A55" i="4"/>
  <c r="M55" i="3"/>
  <c r="H56" i="4" s="1"/>
  <c r="F53" i="3"/>
  <c r="F54" i="4" s="1"/>
  <c r="E52" i="3"/>
  <c r="D52" i="4"/>
  <c r="E171" i="4" l="1"/>
  <c r="S54" i="7"/>
  <c r="O56" i="3"/>
  <c r="J57" i="4" s="1"/>
  <c r="Q56" i="3"/>
  <c r="P57" i="4" s="1"/>
  <c r="J176" i="4"/>
  <c r="N59" i="7"/>
  <c r="I176" i="4" s="1"/>
  <c r="K59" i="7"/>
  <c r="N176" i="4" s="1"/>
  <c r="I59" i="7"/>
  <c r="L176" i="4" s="1"/>
  <c r="L59" i="7"/>
  <c r="O176" i="4" s="1"/>
  <c r="J59" i="7"/>
  <c r="M176" i="4" s="1"/>
  <c r="N56" i="3"/>
  <c r="I57" i="4" s="1"/>
  <c r="L56" i="3"/>
  <c r="O57" i="4" s="1"/>
  <c r="J56" i="3"/>
  <c r="M57" i="4" s="1"/>
  <c r="K56" i="3"/>
  <c r="N57" i="4" s="1"/>
  <c r="I56" i="3"/>
  <c r="L57" i="4" s="1"/>
  <c r="A175" i="4"/>
  <c r="H55" i="7"/>
  <c r="G172" i="4"/>
  <c r="X57" i="7"/>
  <c r="C174" i="4"/>
  <c r="M59" i="7"/>
  <c r="H176" i="4" s="1"/>
  <c r="A59" i="7"/>
  <c r="D58" i="7"/>
  <c r="P176" i="4"/>
  <c r="F57" i="7"/>
  <c r="F174" i="4" s="1"/>
  <c r="G56" i="7"/>
  <c r="E56" i="7"/>
  <c r="D173" i="4" s="1"/>
  <c r="H52" i="3"/>
  <c r="E52" i="4"/>
  <c r="D55" i="3"/>
  <c r="D53" i="4"/>
  <c r="E53" i="3"/>
  <c r="C55" i="4"/>
  <c r="T54" i="3"/>
  <c r="U54" i="3" s="1"/>
  <c r="B55" i="4"/>
  <c r="Q56" i="4" s="1"/>
  <c r="V54" i="3"/>
  <c r="W54" i="3" s="1"/>
  <c r="X54" i="3" s="1"/>
  <c r="A56" i="3"/>
  <c r="R57" i="3" s="1"/>
  <c r="M56" i="3"/>
  <c r="H57" i="4" s="1"/>
  <c r="A56" i="4"/>
  <c r="F54" i="3"/>
  <c r="F55" i="4" s="1"/>
  <c r="G53" i="3"/>
  <c r="E172" i="4" l="1"/>
  <c r="S55" i="7"/>
  <c r="Q57" i="3"/>
  <c r="P58" i="4" s="1"/>
  <c r="O57" i="3"/>
  <c r="J58" i="4" s="1"/>
  <c r="E53" i="4"/>
  <c r="S52" i="3"/>
  <c r="J177" i="4"/>
  <c r="N60" i="7"/>
  <c r="I177" i="4" s="1"/>
  <c r="K60" i="7"/>
  <c r="N177" i="4" s="1"/>
  <c r="I60" i="7"/>
  <c r="L177" i="4" s="1"/>
  <c r="L60" i="7"/>
  <c r="O177" i="4" s="1"/>
  <c r="J60" i="7"/>
  <c r="M177" i="4" s="1"/>
  <c r="N57" i="3"/>
  <c r="I58" i="4" s="1"/>
  <c r="L57" i="3"/>
  <c r="O58" i="4" s="1"/>
  <c r="J57" i="3"/>
  <c r="M58" i="4" s="1"/>
  <c r="K57" i="3"/>
  <c r="N58" i="4" s="1"/>
  <c r="I57" i="3"/>
  <c r="L58" i="4" s="1"/>
  <c r="A176" i="4"/>
  <c r="P54" i="4"/>
  <c r="H56" i="7"/>
  <c r="G173" i="4"/>
  <c r="X58" i="7"/>
  <c r="C175" i="4"/>
  <c r="G57" i="7"/>
  <c r="E57" i="7"/>
  <c r="D174" i="4" s="1"/>
  <c r="D59" i="7"/>
  <c r="A60" i="7"/>
  <c r="P177" i="4"/>
  <c r="F58" i="7"/>
  <c r="F175" i="4" s="1"/>
  <c r="M60" i="7"/>
  <c r="H177" i="4" s="1"/>
  <c r="G54" i="3"/>
  <c r="D56" i="3"/>
  <c r="T55" i="3"/>
  <c r="U55" i="3" s="1"/>
  <c r="V55" i="3"/>
  <c r="W55" i="3" s="1"/>
  <c r="X55" i="3" s="1"/>
  <c r="B56" i="4"/>
  <c r="Q57" i="4" s="1"/>
  <c r="A57" i="3"/>
  <c r="R58" i="3" s="1"/>
  <c r="M57" i="3"/>
  <c r="H58" i="4" s="1"/>
  <c r="A57" i="4"/>
  <c r="F55" i="3"/>
  <c r="F56" i="4" s="1"/>
  <c r="G54" i="4"/>
  <c r="H53" i="3"/>
  <c r="S53" i="3" s="1"/>
  <c r="C56" i="4"/>
  <c r="D54" i="4"/>
  <c r="E54" i="3"/>
  <c r="E173" i="4" l="1"/>
  <c r="S56" i="7"/>
  <c r="Q58" i="3"/>
  <c r="P59" i="4" s="1"/>
  <c r="O58" i="3"/>
  <c r="J59" i="4" s="1"/>
  <c r="J178" i="4"/>
  <c r="N61" i="7"/>
  <c r="I178" i="4" s="1"/>
  <c r="K61" i="7"/>
  <c r="N178" i="4" s="1"/>
  <c r="I61" i="7"/>
  <c r="L178" i="4" s="1"/>
  <c r="L61" i="7"/>
  <c r="O178" i="4" s="1"/>
  <c r="J61" i="7"/>
  <c r="M178" i="4" s="1"/>
  <c r="N58" i="3"/>
  <c r="I59" i="4" s="1"/>
  <c r="L58" i="3"/>
  <c r="O59" i="4" s="1"/>
  <c r="J58" i="3"/>
  <c r="M59" i="4" s="1"/>
  <c r="K58" i="3"/>
  <c r="N59" i="4" s="1"/>
  <c r="I58" i="3"/>
  <c r="L59" i="4" s="1"/>
  <c r="A177" i="4"/>
  <c r="H57" i="7"/>
  <c r="G174" i="4"/>
  <c r="X59" i="7"/>
  <c r="C176" i="4"/>
  <c r="D60" i="7"/>
  <c r="A61" i="7"/>
  <c r="P178" i="4"/>
  <c r="F59" i="7"/>
  <c r="F176" i="4" s="1"/>
  <c r="M61" i="7"/>
  <c r="H178" i="4" s="1"/>
  <c r="G58" i="7"/>
  <c r="E58" i="7"/>
  <c r="D175" i="4" s="1"/>
  <c r="E54" i="4"/>
  <c r="H54" i="3"/>
  <c r="G55" i="4"/>
  <c r="D57" i="3"/>
  <c r="C58" i="4" s="1"/>
  <c r="E55" i="3"/>
  <c r="D55" i="4"/>
  <c r="V56" i="3"/>
  <c r="W56" i="3" s="1"/>
  <c r="X56" i="3" s="1"/>
  <c r="T56" i="3"/>
  <c r="U56" i="3" s="1"/>
  <c r="B57" i="4"/>
  <c r="Q58" i="4" s="1"/>
  <c r="G55" i="3"/>
  <c r="C57" i="4"/>
  <c r="A58" i="3"/>
  <c r="R59" i="3" s="1"/>
  <c r="M58" i="3"/>
  <c r="H59" i="4" s="1"/>
  <c r="A58" i="4"/>
  <c r="F56" i="3"/>
  <c r="F57" i="4" s="1"/>
  <c r="E174" i="4" l="1"/>
  <c r="S57" i="7"/>
  <c r="Q59" i="3"/>
  <c r="P60" i="4" s="1"/>
  <c r="O59" i="3"/>
  <c r="J60" i="4" s="1"/>
  <c r="E55" i="4"/>
  <c r="S54" i="3"/>
  <c r="J179" i="4"/>
  <c r="N62" i="7"/>
  <c r="I179" i="4" s="1"/>
  <c r="K62" i="7"/>
  <c r="N179" i="4" s="1"/>
  <c r="I62" i="7"/>
  <c r="L179" i="4" s="1"/>
  <c r="L62" i="7"/>
  <c r="O179" i="4" s="1"/>
  <c r="J62" i="7"/>
  <c r="M179" i="4" s="1"/>
  <c r="N59" i="3"/>
  <c r="I60" i="4" s="1"/>
  <c r="L59" i="3"/>
  <c r="O60" i="4" s="1"/>
  <c r="J59" i="3"/>
  <c r="M60" i="4" s="1"/>
  <c r="K59" i="3"/>
  <c r="N60" i="4" s="1"/>
  <c r="I59" i="3"/>
  <c r="L60" i="4" s="1"/>
  <c r="A178" i="4"/>
  <c r="P55" i="4"/>
  <c r="H58" i="7"/>
  <c r="G175" i="4"/>
  <c r="X60" i="7"/>
  <c r="C177" i="4"/>
  <c r="E59" i="7"/>
  <c r="D176" i="4" s="1"/>
  <c r="G59" i="7"/>
  <c r="M62" i="7"/>
  <c r="H179" i="4" s="1"/>
  <c r="D61" i="7"/>
  <c r="A62" i="7"/>
  <c r="P179" i="4"/>
  <c r="F60" i="7"/>
  <c r="F177" i="4" s="1"/>
  <c r="D58" i="3"/>
  <c r="A59" i="3"/>
  <c r="R60" i="3" s="1"/>
  <c r="M59" i="3"/>
  <c r="H60" i="4" s="1"/>
  <c r="A59" i="4"/>
  <c r="F57" i="3"/>
  <c r="F58" i="4" s="1"/>
  <c r="D56" i="4"/>
  <c r="E56" i="3"/>
  <c r="T57" i="3"/>
  <c r="U57" i="3" s="1"/>
  <c r="B58" i="4"/>
  <c r="Q59" i="4" s="1"/>
  <c r="V57" i="3"/>
  <c r="W57" i="3" s="1"/>
  <c r="X57" i="3" s="1"/>
  <c r="G56" i="4"/>
  <c r="H55" i="3"/>
  <c r="G56" i="3"/>
  <c r="G57" i="4" s="1"/>
  <c r="E175" i="4" l="1"/>
  <c r="S58" i="7"/>
  <c r="O60" i="3"/>
  <c r="J61" i="4" s="1"/>
  <c r="Q60" i="3"/>
  <c r="P61" i="4" s="1"/>
  <c r="E56" i="4"/>
  <c r="S55" i="3"/>
  <c r="J180" i="4"/>
  <c r="N63" i="7"/>
  <c r="I180" i="4" s="1"/>
  <c r="K63" i="7"/>
  <c r="N180" i="4" s="1"/>
  <c r="I63" i="7"/>
  <c r="L180" i="4" s="1"/>
  <c r="L63" i="7"/>
  <c r="O180" i="4" s="1"/>
  <c r="J63" i="7"/>
  <c r="M180" i="4" s="1"/>
  <c r="N60" i="3"/>
  <c r="I61" i="4" s="1"/>
  <c r="L60" i="3"/>
  <c r="O61" i="4" s="1"/>
  <c r="J60" i="3"/>
  <c r="M61" i="4" s="1"/>
  <c r="K60" i="3"/>
  <c r="N61" i="4" s="1"/>
  <c r="I60" i="3"/>
  <c r="L61" i="4" s="1"/>
  <c r="A179" i="4"/>
  <c r="H59" i="7"/>
  <c r="G176" i="4"/>
  <c r="X61" i="7"/>
  <c r="C178" i="4"/>
  <c r="D62" i="7"/>
  <c r="A63" i="7"/>
  <c r="M63" i="7"/>
  <c r="H180" i="4" s="1"/>
  <c r="P180" i="4"/>
  <c r="F61" i="7"/>
  <c r="F178" i="4" s="1"/>
  <c r="E60" i="7"/>
  <c r="D177" i="4" s="1"/>
  <c r="G60" i="7"/>
  <c r="D59" i="3"/>
  <c r="G57" i="3"/>
  <c r="G58" i="4" s="1"/>
  <c r="E57" i="3"/>
  <c r="D57" i="4"/>
  <c r="B59" i="4"/>
  <c r="Q60" i="4" s="1"/>
  <c r="T58" i="3"/>
  <c r="U58" i="3" s="1"/>
  <c r="V58" i="3"/>
  <c r="W58" i="3" s="1"/>
  <c r="X58" i="3" s="1"/>
  <c r="A60" i="3"/>
  <c r="R61" i="3" s="1"/>
  <c r="A60" i="4"/>
  <c r="M60" i="3"/>
  <c r="H61" i="4" s="1"/>
  <c r="F58" i="3"/>
  <c r="F59" i="4" s="1"/>
  <c r="H56" i="3"/>
  <c r="C59" i="4"/>
  <c r="E176" i="4" l="1"/>
  <c r="S59" i="7"/>
  <c r="O61" i="3"/>
  <c r="J62" i="4" s="1"/>
  <c r="Q61" i="3"/>
  <c r="P62" i="4" s="1"/>
  <c r="E57" i="4"/>
  <c r="S56" i="3"/>
  <c r="J181" i="4"/>
  <c r="N64" i="7"/>
  <c r="I181" i="4" s="1"/>
  <c r="K64" i="7"/>
  <c r="N181" i="4" s="1"/>
  <c r="I64" i="7"/>
  <c r="L181" i="4" s="1"/>
  <c r="L64" i="7"/>
  <c r="O181" i="4" s="1"/>
  <c r="J64" i="7"/>
  <c r="M181" i="4" s="1"/>
  <c r="N61" i="3"/>
  <c r="I62" i="4" s="1"/>
  <c r="L61" i="3"/>
  <c r="O62" i="4" s="1"/>
  <c r="J61" i="3"/>
  <c r="M62" i="4" s="1"/>
  <c r="K61" i="3"/>
  <c r="N62" i="4" s="1"/>
  <c r="I61" i="3"/>
  <c r="L62" i="4" s="1"/>
  <c r="A180" i="4"/>
  <c r="H60" i="7"/>
  <c r="G177" i="4"/>
  <c r="X62" i="7"/>
  <c r="C179" i="4"/>
  <c r="M64" i="7"/>
  <c r="H181" i="4" s="1"/>
  <c r="D63" i="7"/>
  <c r="A64" i="7"/>
  <c r="P181" i="4"/>
  <c r="F62" i="7"/>
  <c r="F179" i="4" s="1"/>
  <c r="G61" i="7"/>
  <c r="E61" i="7"/>
  <c r="D178" i="4" s="1"/>
  <c r="G58" i="3"/>
  <c r="G59" i="4" s="1"/>
  <c r="D60" i="3"/>
  <c r="H57" i="3"/>
  <c r="C60" i="4"/>
  <c r="A61" i="3"/>
  <c r="R62" i="3" s="1"/>
  <c r="M61" i="3"/>
  <c r="H62" i="4" s="1"/>
  <c r="A61" i="4"/>
  <c r="F59" i="3"/>
  <c r="F60" i="4" s="1"/>
  <c r="V59" i="3"/>
  <c r="W59" i="3" s="1"/>
  <c r="X59" i="3" s="1"/>
  <c r="T59" i="3"/>
  <c r="U59" i="3" s="1"/>
  <c r="B60" i="4"/>
  <c r="Q61" i="4" s="1"/>
  <c r="E58" i="3"/>
  <c r="D58" i="4"/>
  <c r="E177" i="4" l="1"/>
  <c r="S60" i="7"/>
  <c r="O62" i="3"/>
  <c r="J63" i="4" s="1"/>
  <c r="Q62" i="3"/>
  <c r="P63" i="4" s="1"/>
  <c r="E58" i="4"/>
  <c r="S57" i="3"/>
  <c r="J182" i="4"/>
  <c r="N65" i="7"/>
  <c r="I182" i="4" s="1"/>
  <c r="K65" i="7"/>
  <c r="N182" i="4" s="1"/>
  <c r="I65" i="7"/>
  <c r="L182" i="4" s="1"/>
  <c r="L65" i="7"/>
  <c r="O182" i="4" s="1"/>
  <c r="J65" i="7"/>
  <c r="M182" i="4" s="1"/>
  <c r="N62" i="3"/>
  <c r="I63" i="4" s="1"/>
  <c r="L62" i="3"/>
  <c r="O63" i="4" s="1"/>
  <c r="J62" i="3"/>
  <c r="M63" i="4" s="1"/>
  <c r="K62" i="3"/>
  <c r="N63" i="4" s="1"/>
  <c r="I62" i="3"/>
  <c r="L63" i="4" s="1"/>
  <c r="A181" i="4"/>
  <c r="H61" i="7"/>
  <c r="G178" i="4"/>
  <c r="X63" i="7"/>
  <c r="C180" i="4"/>
  <c r="M65" i="7"/>
  <c r="H182" i="4" s="1"/>
  <c r="D64" i="7"/>
  <c r="A65" i="7"/>
  <c r="F63" i="7"/>
  <c r="F180" i="4" s="1"/>
  <c r="E62" i="7"/>
  <c r="D179" i="4" s="1"/>
  <c r="G62" i="7"/>
  <c r="H58" i="3"/>
  <c r="G59" i="3"/>
  <c r="G60" i="4" s="1"/>
  <c r="D61" i="3"/>
  <c r="C62" i="4" s="1"/>
  <c r="C61" i="4"/>
  <c r="E59" i="3"/>
  <c r="D59" i="4"/>
  <c r="T60" i="3"/>
  <c r="U60" i="3" s="1"/>
  <c r="B61" i="4"/>
  <c r="Q62" i="4" s="1"/>
  <c r="V60" i="3"/>
  <c r="W60" i="3" s="1"/>
  <c r="X60" i="3" s="1"/>
  <c r="A62" i="3"/>
  <c r="R63" i="3" s="1"/>
  <c r="A62" i="4"/>
  <c r="M62" i="3"/>
  <c r="H63" i="4" s="1"/>
  <c r="F60" i="3"/>
  <c r="F61" i="4" s="1"/>
  <c r="E178" i="4" l="1"/>
  <c r="S61" i="7"/>
  <c r="O63" i="3"/>
  <c r="J64" i="4" s="1"/>
  <c r="Q63" i="3"/>
  <c r="P64" i="4" s="1"/>
  <c r="E59" i="4"/>
  <c r="S58" i="3"/>
  <c r="J183" i="4"/>
  <c r="N66" i="7"/>
  <c r="I183" i="4" s="1"/>
  <c r="K66" i="7"/>
  <c r="N183" i="4" s="1"/>
  <c r="I66" i="7"/>
  <c r="L183" i="4" s="1"/>
  <c r="L66" i="7"/>
  <c r="O183" i="4" s="1"/>
  <c r="J66" i="7"/>
  <c r="M183" i="4" s="1"/>
  <c r="N63" i="3"/>
  <c r="I64" i="4" s="1"/>
  <c r="L63" i="3"/>
  <c r="O64" i="4" s="1"/>
  <c r="J63" i="3"/>
  <c r="M64" i="4" s="1"/>
  <c r="K63" i="3"/>
  <c r="N64" i="4" s="1"/>
  <c r="I63" i="3"/>
  <c r="L64" i="4" s="1"/>
  <c r="A182" i="4"/>
  <c r="H62" i="7"/>
  <c r="S62" i="7" s="1"/>
  <c r="G179" i="4"/>
  <c r="X64" i="7"/>
  <c r="C181" i="4"/>
  <c r="M66" i="7"/>
  <c r="H183" i="4" s="1"/>
  <c r="A66" i="7"/>
  <c r="D65" i="7"/>
  <c r="P183" i="4"/>
  <c r="F64" i="7"/>
  <c r="F181" i="4" s="1"/>
  <c r="G63" i="7"/>
  <c r="E63" i="7"/>
  <c r="D180" i="4" s="1"/>
  <c r="G60" i="3"/>
  <c r="G61" i="4" s="1"/>
  <c r="H59" i="3"/>
  <c r="D62" i="3"/>
  <c r="E60" i="3"/>
  <c r="D60" i="4"/>
  <c r="T61" i="3"/>
  <c r="U61" i="3" s="1"/>
  <c r="B62" i="4"/>
  <c r="Q63" i="4" s="1"/>
  <c r="V61" i="3"/>
  <c r="W61" i="3" s="1"/>
  <c r="X61" i="3" s="1"/>
  <c r="A63" i="3"/>
  <c r="R64" i="3" s="1"/>
  <c r="A63" i="4"/>
  <c r="M63" i="3"/>
  <c r="H64" i="4" s="1"/>
  <c r="F61" i="3"/>
  <c r="F62" i="4" s="1"/>
  <c r="O64" i="3" l="1"/>
  <c r="J65" i="4" s="1"/>
  <c r="Q64" i="3"/>
  <c r="P65" i="4" s="1"/>
  <c r="E60" i="4"/>
  <c r="S59" i="3"/>
  <c r="J184" i="4"/>
  <c r="N67" i="7"/>
  <c r="I184" i="4" s="1"/>
  <c r="K67" i="7"/>
  <c r="N184" i="4" s="1"/>
  <c r="I67" i="7"/>
  <c r="L184" i="4" s="1"/>
  <c r="L67" i="7"/>
  <c r="O184" i="4" s="1"/>
  <c r="J67" i="7"/>
  <c r="M184" i="4" s="1"/>
  <c r="N64" i="3"/>
  <c r="I65" i="4" s="1"/>
  <c r="L64" i="3"/>
  <c r="O65" i="4" s="1"/>
  <c r="J64" i="3"/>
  <c r="M65" i="4" s="1"/>
  <c r="K64" i="3"/>
  <c r="N65" i="4" s="1"/>
  <c r="I64" i="3"/>
  <c r="L65" i="4" s="1"/>
  <c r="A183" i="4"/>
  <c r="E179" i="4"/>
  <c r="H63" i="7"/>
  <c r="G180" i="4"/>
  <c r="X65" i="7"/>
  <c r="C182" i="4"/>
  <c r="D66" i="7"/>
  <c r="M67" i="7"/>
  <c r="H184" i="4" s="1"/>
  <c r="A67" i="7"/>
  <c r="P184" i="4"/>
  <c r="F65" i="7"/>
  <c r="F182" i="4" s="1"/>
  <c r="G64" i="7"/>
  <c r="E64" i="7"/>
  <c r="D181" i="4" s="1"/>
  <c r="H60" i="3"/>
  <c r="D63" i="3"/>
  <c r="G61" i="3"/>
  <c r="G62" i="4" s="1"/>
  <c r="C63" i="4"/>
  <c r="B63" i="4"/>
  <c r="Q64" i="4" s="1"/>
  <c r="T62" i="3"/>
  <c r="U62" i="3" s="1"/>
  <c r="V62" i="3"/>
  <c r="W62" i="3" s="1"/>
  <c r="X62" i="3" s="1"/>
  <c r="A64" i="3"/>
  <c r="R65" i="3" s="1"/>
  <c r="A64" i="4"/>
  <c r="M64" i="3"/>
  <c r="H65" i="4" s="1"/>
  <c r="F62" i="3"/>
  <c r="F63" i="4" s="1"/>
  <c r="D61" i="4"/>
  <c r="E61" i="3"/>
  <c r="E180" i="4" l="1"/>
  <c r="S63" i="7"/>
  <c r="O65" i="3"/>
  <c r="J66" i="4" s="1"/>
  <c r="E61" i="4"/>
  <c r="S60" i="3"/>
  <c r="J185" i="4"/>
  <c r="N68" i="7"/>
  <c r="I185" i="4" s="1"/>
  <c r="K68" i="7"/>
  <c r="N185" i="4" s="1"/>
  <c r="I68" i="7"/>
  <c r="L185" i="4" s="1"/>
  <c r="L68" i="7"/>
  <c r="O185" i="4" s="1"/>
  <c r="J68" i="7"/>
  <c r="M185" i="4" s="1"/>
  <c r="N65" i="3"/>
  <c r="I66" i="4" s="1"/>
  <c r="L65" i="3"/>
  <c r="O66" i="4" s="1"/>
  <c r="J65" i="3"/>
  <c r="M66" i="4" s="1"/>
  <c r="K65" i="3"/>
  <c r="N66" i="4" s="1"/>
  <c r="I65" i="3"/>
  <c r="L66" i="4" s="1"/>
  <c r="A184" i="4"/>
  <c r="H64" i="7"/>
  <c r="S64" i="7" s="1"/>
  <c r="G181" i="4"/>
  <c r="X66" i="7"/>
  <c r="C183" i="4"/>
  <c r="G65" i="7"/>
  <c r="E65" i="7"/>
  <c r="D182" i="4" s="1"/>
  <c r="A68" i="7"/>
  <c r="M68" i="7"/>
  <c r="H185" i="4" s="1"/>
  <c r="D67" i="7"/>
  <c r="P185" i="4"/>
  <c r="F66" i="7"/>
  <c r="F183" i="4" s="1"/>
  <c r="D64" i="3"/>
  <c r="C65" i="4" s="1"/>
  <c r="H61" i="3"/>
  <c r="D62" i="4"/>
  <c r="E62" i="3"/>
  <c r="G62" i="3"/>
  <c r="T63" i="3"/>
  <c r="U63" i="3" s="1"/>
  <c r="B64" i="4"/>
  <c r="Q65" i="4" s="1"/>
  <c r="V63" i="3"/>
  <c r="W63" i="3" s="1"/>
  <c r="X63" i="3" s="1"/>
  <c r="A65" i="3"/>
  <c r="R66" i="3" s="1"/>
  <c r="A65" i="4"/>
  <c r="M65" i="3"/>
  <c r="H66" i="4" s="1"/>
  <c r="F63" i="3"/>
  <c r="F64" i="4" s="1"/>
  <c r="C64" i="4"/>
  <c r="Q66" i="3" l="1"/>
  <c r="O66" i="3"/>
  <c r="J67" i="4" s="1"/>
  <c r="E62" i="4"/>
  <c r="S61" i="3"/>
  <c r="J186" i="4"/>
  <c r="N69" i="7"/>
  <c r="I186" i="4" s="1"/>
  <c r="K69" i="7"/>
  <c r="N186" i="4" s="1"/>
  <c r="I69" i="7"/>
  <c r="L186" i="4" s="1"/>
  <c r="L69" i="7"/>
  <c r="O186" i="4" s="1"/>
  <c r="J69" i="7"/>
  <c r="M186" i="4" s="1"/>
  <c r="N66" i="3"/>
  <c r="I67" i="4" s="1"/>
  <c r="L66" i="3"/>
  <c r="O67" i="4" s="1"/>
  <c r="J66" i="3"/>
  <c r="M67" i="4" s="1"/>
  <c r="K66" i="3"/>
  <c r="N67" i="4" s="1"/>
  <c r="I66" i="3"/>
  <c r="L67" i="4" s="1"/>
  <c r="A185" i="4"/>
  <c r="E181" i="4"/>
  <c r="P182" i="4"/>
  <c r="H65" i="7"/>
  <c r="G182" i="4"/>
  <c r="X67" i="7"/>
  <c r="C184" i="4"/>
  <c r="M69" i="7"/>
  <c r="H186" i="4" s="1"/>
  <c r="A69" i="7"/>
  <c r="P186" i="4"/>
  <c r="D68" i="7"/>
  <c r="F67" i="7"/>
  <c r="F184" i="4" s="1"/>
  <c r="G66" i="7"/>
  <c r="E66" i="7"/>
  <c r="D183" i="4" s="1"/>
  <c r="G63" i="3"/>
  <c r="G64" i="4" s="1"/>
  <c r="D65" i="3"/>
  <c r="T64" i="3"/>
  <c r="U64" i="3" s="1"/>
  <c r="V64" i="3"/>
  <c r="W64" i="3" s="1"/>
  <c r="X64" i="3" s="1"/>
  <c r="B65" i="4"/>
  <c r="Q66" i="4" s="1"/>
  <c r="E63" i="3"/>
  <c r="D63" i="4"/>
  <c r="A66" i="3"/>
  <c r="R67" i="3" s="1"/>
  <c r="A66" i="4"/>
  <c r="P67" i="4"/>
  <c r="M66" i="3"/>
  <c r="H67" i="4" s="1"/>
  <c r="F64" i="3"/>
  <c r="F65" i="4" s="1"/>
  <c r="G63" i="4"/>
  <c r="H62" i="3"/>
  <c r="E182" i="4" l="1"/>
  <c r="S65" i="7"/>
  <c r="Q67" i="3"/>
  <c r="P68" i="4" s="1"/>
  <c r="O67" i="3"/>
  <c r="J68" i="4" s="1"/>
  <c r="E63" i="4"/>
  <c r="S62" i="3"/>
  <c r="J187" i="4"/>
  <c r="N70" i="7"/>
  <c r="I187" i="4" s="1"/>
  <c r="K70" i="7"/>
  <c r="N187" i="4" s="1"/>
  <c r="I70" i="7"/>
  <c r="L187" i="4" s="1"/>
  <c r="L70" i="7"/>
  <c r="O187" i="4" s="1"/>
  <c r="J70" i="7"/>
  <c r="M187" i="4" s="1"/>
  <c r="N67" i="3"/>
  <c r="I68" i="4" s="1"/>
  <c r="L67" i="3"/>
  <c r="O68" i="4" s="1"/>
  <c r="J67" i="3"/>
  <c r="M68" i="4" s="1"/>
  <c r="K67" i="3"/>
  <c r="N68" i="4" s="1"/>
  <c r="I67" i="3"/>
  <c r="L68" i="4" s="1"/>
  <c r="A186" i="4"/>
  <c r="H66" i="7"/>
  <c r="G183" i="4"/>
  <c r="X68" i="7"/>
  <c r="C185" i="4"/>
  <c r="G67" i="7"/>
  <c r="E67" i="7"/>
  <c r="D184" i="4" s="1"/>
  <c r="M70" i="7"/>
  <c r="H187" i="4" s="1"/>
  <c r="F68" i="7"/>
  <c r="F185" i="4" s="1"/>
  <c r="A70" i="7"/>
  <c r="D69" i="7"/>
  <c r="P187" i="4"/>
  <c r="H63" i="3"/>
  <c r="D66" i="3"/>
  <c r="G64" i="3"/>
  <c r="H64" i="3" s="1"/>
  <c r="C66" i="4"/>
  <c r="A67" i="3"/>
  <c r="R68" i="3" s="1"/>
  <c r="A67" i="4"/>
  <c r="M67" i="3"/>
  <c r="H68" i="4" s="1"/>
  <c r="F65" i="3"/>
  <c r="F66" i="4" s="1"/>
  <c r="D64" i="4"/>
  <c r="E64" i="3"/>
  <c r="V65" i="3"/>
  <c r="W65" i="3" s="1"/>
  <c r="X65" i="3" s="1"/>
  <c r="B66" i="4"/>
  <c r="Q67" i="4" s="1"/>
  <c r="T65" i="3"/>
  <c r="U65" i="3" s="1"/>
  <c r="E183" i="4" l="1"/>
  <c r="S66" i="7"/>
  <c r="Q68" i="3"/>
  <c r="P69" i="4" s="1"/>
  <c r="O68" i="3"/>
  <c r="E65" i="4"/>
  <c r="S64" i="3"/>
  <c r="E64" i="4"/>
  <c r="S63" i="3"/>
  <c r="J188" i="4"/>
  <c r="N71" i="7"/>
  <c r="I188" i="4" s="1"/>
  <c r="K71" i="7"/>
  <c r="N188" i="4" s="1"/>
  <c r="I71" i="7"/>
  <c r="L188" i="4" s="1"/>
  <c r="L71" i="7"/>
  <c r="O188" i="4" s="1"/>
  <c r="J71" i="7"/>
  <c r="M188" i="4" s="1"/>
  <c r="J69" i="4"/>
  <c r="N68" i="3"/>
  <c r="I69" i="4" s="1"/>
  <c r="L68" i="3"/>
  <c r="O69" i="4" s="1"/>
  <c r="J68" i="3"/>
  <c r="M69" i="4" s="1"/>
  <c r="K68" i="3"/>
  <c r="N69" i="4" s="1"/>
  <c r="I68" i="3"/>
  <c r="L69" i="4" s="1"/>
  <c r="A187" i="4"/>
  <c r="H67" i="7"/>
  <c r="G184" i="4"/>
  <c r="X69" i="7"/>
  <c r="C186" i="4"/>
  <c r="M71" i="7"/>
  <c r="H188" i="4" s="1"/>
  <c r="D70" i="7"/>
  <c r="A71" i="7"/>
  <c r="P188" i="4"/>
  <c r="F69" i="7"/>
  <c r="F186" i="4" s="1"/>
  <c r="G68" i="7"/>
  <c r="E68" i="7"/>
  <c r="D185" i="4" s="1"/>
  <c r="D67" i="3"/>
  <c r="C68" i="4" s="1"/>
  <c r="G65" i="4"/>
  <c r="G65" i="3"/>
  <c r="C67" i="4"/>
  <c r="E65" i="3"/>
  <c r="D65" i="4"/>
  <c r="T66" i="3"/>
  <c r="U66" i="3" s="1"/>
  <c r="V66" i="3"/>
  <c r="W66" i="3" s="1"/>
  <c r="X66" i="3" s="1"/>
  <c r="B67" i="4"/>
  <c r="Q68" i="4" s="1"/>
  <c r="A68" i="3"/>
  <c r="R69" i="3" s="1"/>
  <c r="A68" i="4"/>
  <c r="M68" i="3"/>
  <c r="H69" i="4" s="1"/>
  <c r="F66" i="3"/>
  <c r="F67" i="4" s="1"/>
  <c r="E184" i="4" l="1"/>
  <c r="S67" i="7"/>
  <c r="Q65" i="3"/>
  <c r="P66" i="4" s="1"/>
  <c r="O69" i="3"/>
  <c r="J70" i="4" s="1"/>
  <c r="Q69" i="3"/>
  <c r="P70" i="4" s="1"/>
  <c r="J189" i="4"/>
  <c r="N72" i="7"/>
  <c r="I189" i="4" s="1"/>
  <c r="K72" i="7"/>
  <c r="N189" i="4" s="1"/>
  <c r="I72" i="7"/>
  <c r="L189" i="4" s="1"/>
  <c r="L72" i="7"/>
  <c r="O189" i="4" s="1"/>
  <c r="J72" i="7"/>
  <c r="M189" i="4" s="1"/>
  <c r="N69" i="3"/>
  <c r="I70" i="4" s="1"/>
  <c r="L69" i="3"/>
  <c r="O70" i="4" s="1"/>
  <c r="J69" i="3"/>
  <c r="M70" i="4" s="1"/>
  <c r="K69" i="3"/>
  <c r="N70" i="4" s="1"/>
  <c r="I69" i="3"/>
  <c r="L70" i="4" s="1"/>
  <c r="A188" i="4"/>
  <c r="G66" i="4"/>
  <c r="H68" i="7"/>
  <c r="G185" i="4"/>
  <c r="X70" i="7"/>
  <c r="C187" i="4"/>
  <c r="G69" i="7"/>
  <c r="E69" i="7"/>
  <c r="D186" i="4" s="1"/>
  <c r="P189" i="4"/>
  <c r="F70" i="7"/>
  <c r="F187" i="4" s="1"/>
  <c r="A72" i="7"/>
  <c r="D71" i="7"/>
  <c r="M72" i="7"/>
  <c r="H189" i="4" s="1"/>
  <c r="G66" i="3"/>
  <c r="H66" i="3" s="1"/>
  <c r="D68" i="3"/>
  <c r="C69" i="4" s="1"/>
  <c r="H65" i="3"/>
  <c r="B68" i="4"/>
  <c r="Q69" i="4" s="1"/>
  <c r="T67" i="3"/>
  <c r="U67" i="3" s="1"/>
  <c r="V67" i="3"/>
  <c r="W67" i="3" s="1"/>
  <c r="X67" i="3" s="1"/>
  <c r="A69" i="3"/>
  <c r="R70" i="3" s="1"/>
  <c r="A69" i="4"/>
  <c r="M69" i="3"/>
  <c r="H70" i="4" s="1"/>
  <c r="F67" i="3"/>
  <c r="F68" i="4" s="1"/>
  <c r="E66" i="3"/>
  <c r="D66" i="4"/>
  <c r="E185" i="4" l="1"/>
  <c r="S68" i="7"/>
  <c r="O70" i="3"/>
  <c r="Q70" i="3"/>
  <c r="P71" i="4" s="1"/>
  <c r="E67" i="4"/>
  <c r="S66" i="3"/>
  <c r="E66" i="4"/>
  <c r="S65" i="3"/>
  <c r="J190" i="4"/>
  <c r="N73" i="7"/>
  <c r="I190" i="4" s="1"/>
  <c r="K73" i="7"/>
  <c r="N190" i="4" s="1"/>
  <c r="I73" i="7"/>
  <c r="L190" i="4" s="1"/>
  <c r="L73" i="7"/>
  <c r="O190" i="4" s="1"/>
  <c r="J73" i="7"/>
  <c r="M190" i="4" s="1"/>
  <c r="J71" i="4"/>
  <c r="N70" i="3"/>
  <c r="I71" i="4" s="1"/>
  <c r="L70" i="3"/>
  <c r="O71" i="4" s="1"/>
  <c r="J70" i="3"/>
  <c r="M71" i="4" s="1"/>
  <c r="K70" i="3"/>
  <c r="N71" i="4" s="1"/>
  <c r="I70" i="3"/>
  <c r="L71" i="4" s="1"/>
  <c r="A189" i="4"/>
  <c r="H69" i="7"/>
  <c r="G186" i="4"/>
  <c r="X71" i="7"/>
  <c r="C188" i="4"/>
  <c r="G70" i="7"/>
  <c r="E70" i="7"/>
  <c r="D187" i="4" s="1"/>
  <c r="M73" i="7"/>
  <c r="H190" i="4" s="1"/>
  <c r="D72" i="7"/>
  <c r="A73" i="7"/>
  <c r="P190" i="4"/>
  <c r="F71" i="7"/>
  <c r="F188" i="4" s="1"/>
  <c r="G67" i="4"/>
  <c r="D69" i="3"/>
  <c r="A70" i="3"/>
  <c r="R71" i="3" s="1"/>
  <c r="A70" i="4"/>
  <c r="M70" i="3"/>
  <c r="H71" i="4" s="1"/>
  <c r="F68" i="3"/>
  <c r="F69" i="4" s="1"/>
  <c r="G67" i="3"/>
  <c r="E67" i="3"/>
  <c r="D67" i="4"/>
  <c r="T68" i="3"/>
  <c r="U68" i="3" s="1"/>
  <c r="V68" i="3"/>
  <c r="W68" i="3" s="1"/>
  <c r="X68" i="3" s="1"/>
  <c r="B69" i="4"/>
  <c r="Q70" i="4" s="1"/>
  <c r="E186" i="4" l="1"/>
  <c r="S69" i="7"/>
  <c r="O71" i="3"/>
  <c r="J72" i="4" s="1"/>
  <c r="Q71" i="3"/>
  <c r="P72" i="4" s="1"/>
  <c r="J191" i="4"/>
  <c r="K74" i="7"/>
  <c r="N191" i="4" s="1"/>
  <c r="N74" i="7"/>
  <c r="I191" i="4" s="1"/>
  <c r="L74" i="7"/>
  <c r="O191" i="4" s="1"/>
  <c r="J74" i="7"/>
  <c r="M191" i="4" s="1"/>
  <c r="I74" i="7"/>
  <c r="L191" i="4" s="1"/>
  <c r="N71" i="3"/>
  <c r="I72" i="4" s="1"/>
  <c r="L71" i="3"/>
  <c r="O72" i="4" s="1"/>
  <c r="J71" i="3"/>
  <c r="M72" i="4" s="1"/>
  <c r="K71" i="3"/>
  <c r="N72" i="4" s="1"/>
  <c r="I71" i="3"/>
  <c r="L72" i="4" s="1"/>
  <c r="A190" i="4"/>
  <c r="H70" i="7"/>
  <c r="G187" i="4"/>
  <c r="X72" i="7"/>
  <c r="C189" i="4"/>
  <c r="M74" i="7"/>
  <c r="H191" i="4" s="1"/>
  <c r="P191" i="4"/>
  <c r="D73" i="7"/>
  <c r="A74" i="7"/>
  <c r="F72" i="7"/>
  <c r="F189" i="4" s="1"/>
  <c r="G71" i="7"/>
  <c r="E71" i="7"/>
  <c r="D188" i="4" s="1"/>
  <c r="G68" i="3"/>
  <c r="G69" i="4" s="1"/>
  <c r="D70" i="3"/>
  <c r="G68" i="4"/>
  <c r="H67" i="3"/>
  <c r="B70" i="4"/>
  <c r="Q71" i="4" s="1"/>
  <c r="T69" i="3"/>
  <c r="U69" i="3" s="1"/>
  <c r="V69" i="3"/>
  <c r="W69" i="3" s="1"/>
  <c r="X69" i="3" s="1"/>
  <c r="E68" i="3"/>
  <c r="D68" i="4"/>
  <c r="C70" i="4"/>
  <c r="A71" i="3"/>
  <c r="R72" i="3" s="1"/>
  <c r="M71" i="3"/>
  <c r="H72" i="4" s="1"/>
  <c r="A71" i="4"/>
  <c r="F69" i="3"/>
  <c r="F70" i="4" s="1"/>
  <c r="E187" i="4" l="1"/>
  <c r="S70" i="7"/>
  <c r="O72" i="3"/>
  <c r="J73" i="4" s="1"/>
  <c r="Q72" i="3"/>
  <c r="E68" i="4"/>
  <c r="S67" i="3"/>
  <c r="J192" i="4"/>
  <c r="K75" i="7"/>
  <c r="N192" i="4" s="1"/>
  <c r="I75" i="7"/>
  <c r="L192" i="4" s="1"/>
  <c r="N75" i="7"/>
  <c r="I192" i="4" s="1"/>
  <c r="L75" i="7"/>
  <c r="O192" i="4" s="1"/>
  <c r="J75" i="7"/>
  <c r="M192" i="4" s="1"/>
  <c r="L72" i="3"/>
  <c r="O73" i="4" s="1"/>
  <c r="J72" i="3"/>
  <c r="M73" i="4" s="1"/>
  <c r="N72" i="3"/>
  <c r="I73" i="4" s="1"/>
  <c r="K72" i="3"/>
  <c r="N73" i="4" s="1"/>
  <c r="I72" i="3"/>
  <c r="L73" i="4" s="1"/>
  <c r="A191" i="4"/>
  <c r="H71" i="7"/>
  <c r="G188" i="4"/>
  <c r="X73" i="7"/>
  <c r="C190" i="4"/>
  <c r="G72" i="7"/>
  <c r="E72" i="7"/>
  <c r="D189" i="4" s="1"/>
  <c r="D74" i="7"/>
  <c r="A75" i="7"/>
  <c r="P192" i="4"/>
  <c r="F73" i="7"/>
  <c r="F190" i="4" s="1"/>
  <c r="M75" i="7"/>
  <c r="H192" i="4" s="1"/>
  <c r="H68" i="3"/>
  <c r="D71" i="3"/>
  <c r="C72" i="4" s="1"/>
  <c r="B71" i="4"/>
  <c r="Q72" i="4" s="1"/>
  <c r="T70" i="3"/>
  <c r="U70" i="3" s="1"/>
  <c r="V70" i="3"/>
  <c r="W70" i="3" s="1"/>
  <c r="X70" i="3" s="1"/>
  <c r="C71" i="4"/>
  <c r="A72" i="3"/>
  <c r="R73" i="3" s="1"/>
  <c r="M72" i="3"/>
  <c r="H73" i="4" s="1"/>
  <c r="A72" i="4"/>
  <c r="P73" i="4"/>
  <c r="F70" i="3"/>
  <c r="F71" i="4" s="1"/>
  <c r="E69" i="3"/>
  <c r="D69" i="4"/>
  <c r="G69" i="3"/>
  <c r="G70" i="4" s="1"/>
  <c r="E188" i="4" l="1"/>
  <c r="S71" i="7"/>
  <c r="Q73" i="3"/>
  <c r="O73" i="3"/>
  <c r="J74" i="4" s="1"/>
  <c r="E69" i="4"/>
  <c r="S68" i="3"/>
  <c r="J193" i="4"/>
  <c r="K76" i="7"/>
  <c r="N193" i="4" s="1"/>
  <c r="I76" i="7"/>
  <c r="L193" i="4" s="1"/>
  <c r="N76" i="7"/>
  <c r="I193" i="4" s="1"/>
  <c r="L76" i="7"/>
  <c r="O193" i="4" s="1"/>
  <c r="J76" i="7"/>
  <c r="M193" i="4" s="1"/>
  <c r="L73" i="3"/>
  <c r="O74" i="4" s="1"/>
  <c r="J73" i="3"/>
  <c r="M74" i="4" s="1"/>
  <c r="N73" i="3"/>
  <c r="I74" i="4" s="1"/>
  <c r="K73" i="3"/>
  <c r="N74" i="4" s="1"/>
  <c r="I73" i="3"/>
  <c r="L74" i="4" s="1"/>
  <c r="A192" i="4"/>
  <c r="H72" i="7"/>
  <c r="G189" i="4"/>
  <c r="X74" i="7"/>
  <c r="C191" i="4"/>
  <c r="M76" i="7"/>
  <c r="H193" i="4" s="1"/>
  <c r="P193" i="4"/>
  <c r="D75" i="7"/>
  <c r="A76" i="7"/>
  <c r="F74" i="7"/>
  <c r="F191" i="4" s="1"/>
  <c r="G73" i="7"/>
  <c r="E73" i="7"/>
  <c r="D190" i="4" s="1"/>
  <c r="D72" i="3"/>
  <c r="E70" i="3"/>
  <c r="D70" i="4"/>
  <c r="H69" i="3"/>
  <c r="G70" i="3"/>
  <c r="T71" i="3"/>
  <c r="U71" i="3" s="1"/>
  <c r="B72" i="4"/>
  <c r="Q73" i="4" s="1"/>
  <c r="V71" i="3"/>
  <c r="W71" i="3" s="1"/>
  <c r="X71" i="3" s="1"/>
  <c r="A73" i="3"/>
  <c r="R74" i="3" s="1"/>
  <c r="P74" i="4"/>
  <c r="A73" i="4"/>
  <c r="M73" i="3"/>
  <c r="H74" i="4" s="1"/>
  <c r="F71" i="3"/>
  <c r="F72" i="4" s="1"/>
  <c r="E189" i="4" l="1"/>
  <c r="S72" i="7"/>
  <c r="Q74" i="3"/>
  <c r="P75" i="4" s="1"/>
  <c r="O74" i="3"/>
  <c r="J75" i="4" s="1"/>
  <c r="E70" i="4"/>
  <c r="S69" i="3"/>
  <c r="G71" i="3"/>
  <c r="G72" i="4" s="1"/>
  <c r="J194" i="4"/>
  <c r="K77" i="7"/>
  <c r="N194" i="4" s="1"/>
  <c r="I77" i="7"/>
  <c r="L194" i="4" s="1"/>
  <c r="N77" i="7"/>
  <c r="I194" i="4" s="1"/>
  <c r="L77" i="7"/>
  <c r="O194" i="4" s="1"/>
  <c r="J77" i="7"/>
  <c r="M194" i="4" s="1"/>
  <c r="L74" i="3"/>
  <c r="O75" i="4" s="1"/>
  <c r="J74" i="3"/>
  <c r="M75" i="4" s="1"/>
  <c r="N74" i="3"/>
  <c r="I75" i="4" s="1"/>
  <c r="K74" i="3"/>
  <c r="N75" i="4" s="1"/>
  <c r="I74" i="3"/>
  <c r="L75" i="4" s="1"/>
  <c r="A193" i="4"/>
  <c r="H73" i="7"/>
  <c r="G190" i="4"/>
  <c r="X75" i="7"/>
  <c r="C192" i="4"/>
  <c r="G74" i="7"/>
  <c r="E74" i="7"/>
  <c r="D191" i="4" s="1"/>
  <c r="D76" i="7"/>
  <c r="A77" i="7"/>
  <c r="P194" i="4"/>
  <c r="F75" i="7"/>
  <c r="F192" i="4" s="1"/>
  <c r="M77" i="7"/>
  <c r="H194" i="4" s="1"/>
  <c r="D73" i="3"/>
  <c r="C74" i="4" s="1"/>
  <c r="C73" i="4"/>
  <c r="A74" i="3"/>
  <c r="R75" i="3" s="1"/>
  <c r="A74" i="4"/>
  <c r="M74" i="3"/>
  <c r="H75" i="4" s="1"/>
  <c r="F72" i="3"/>
  <c r="F73" i="4" s="1"/>
  <c r="H70" i="3"/>
  <c r="G71" i="4"/>
  <c r="V72" i="3"/>
  <c r="W72" i="3" s="1"/>
  <c r="X72" i="3" s="1"/>
  <c r="T72" i="3"/>
  <c r="U72" i="3" s="1"/>
  <c r="B73" i="4"/>
  <c r="Q74" i="4" s="1"/>
  <c r="E71" i="3"/>
  <c r="D71" i="4"/>
  <c r="E190" i="4" l="1"/>
  <c r="S73" i="7"/>
  <c r="Q75" i="3"/>
  <c r="P76" i="4" s="1"/>
  <c r="O75" i="3"/>
  <c r="J76" i="4" s="1"/>
  <c r="E71" i="4"/>
  <c r="S70" i="3"/>
  <c r="H71" i="3"/>
  <c r="J195" i="4"/>
  <c r="K78" i="7"/>
  <c r="N195" i="4" s="1"/>
  <c r="I78" i="7"/>
  <c r="L195" i="4" s="1"/>
  <c r="N78" i="7"/>
  <c r="I195" i="4" s="1"/>
  <c r="L78" i="7"/>
  <c r="O195" i="4" s="1"/>
  <c r="J78" i="7"/>
  <c r="M195" i="4" s="1"/>
  <c r="L75" i="3"/>
  <c r="O76" i="4" s="1"/>
  <c r="J75" i="3"/>
  <c r="M76" i="4" s="1"/>
  <c r="N75" i="3"/>
  <c r="I76" i="4" s="1"/>
  <c r="K75" i="3"/>
  <c r="N76" i="4" s="1"/>
  <c r="I75" i="3"/>
  <c r="L76" i="4" s="1"/>
  <c r="A194" i="4"/>
  <c r="H74" i="7"/>
  <c r="G191" i="4"/>
  <c r="X76" i="7"/>
  <c r="C193" i="4"/>
  <c r="M78" i="7"/>
  <c r="H195" i="4" s="1"/>
  <c r="P195" i="4"/>
  <c r="F76" i="7"/>
  <c r="F193" i="4" s="1"/>
  <c r="D77" i="7"/>
  <c r="A78" i="7"/>
  <c r="G75" i="7"/>
  <c r="E75" i="7"/>
  <c r="D192" i="4" s="1"/>
  <c r="D74" i="3"/>
  <c r="D72" i="4"/>
  <c r="E72" i="3"/>
  <c r="G72" i="3"/>
  <c r="T73" i="3"/>
  <c r="U73" i="3" s="1"/>
  <c r="B74" i="4"/>
  <c r="Q75" i="4" s="1"/>
  <c r="V73" i="3"/>
  <c r="W73" i="3" s="1"/>
  <c r="X73" i="3" s="1"/>
  <c r="A75" i="3"/>
  <c r="R76" i="3" s="1"/>
  <c r="M75" i="3"/>
  <c r="H76" i="4" s="1"/>
  <c r="A75" i="4"/>
  <c r="F73" i="3"/>
  <c r="F74" i="4" s="1"/>
  <c r="E191" i="4" l="1"/>
  <c r="S74" i="7"/>
  <c r="O76" i="3"/>
  <c r="Q76" i="3"/>
  <c r="P77" i="4" s="1"/>
  <c r="E72" i="4"/>
  <c r="S71" i="3"/>
  <c r="J196" i="4"/>
  <c r="K79" i="7"/>
  <c r="N196" i="4" s="1"/>
  <c r="I79" i="7"/>
  <c r="L196" i="4" s="1"/>
  <c r="N79" i="7"/>
  <c r="I196" i="4" s="1"/>
  <c r="L79" i="7"/>
  <c r="O196" i="4" s="1"/>
  <c r="J79" i="7"/>
  <c r="M196" i="4" s="1"/>
  <c r="J77" i="4"/>
  <c r="L76" i="3"/>
  <c r="O77" i="4" s="1"/>
  <c r="J76" i="3"/>
  <c r="M77" i="4" s="1"/>
  <c r="N76" i="3"/>
  <c r="I77" i="4" s="1"/>
  <c r="K76" i="3"/>
  <c r="N77" i="4" s="1"/>
  <c r="I76" i="3"/>
  <c r="L77" i="4" s="1"/>
  <c r="A195" i="4"/>
  <c r="H75" i="7"/>
  <c r="G192" i="4"/>
  <c r="X77" i="7"/>
  <c r="C194" i="4"/>
  <c r="E76" i="7"/>
  <c r="D193" i="4" s="1"/>
  <c r="G76" i="7"/>
  <c r="D78" i="7"/>
  <c r="A79" i="7"/>
  <c r="M79" i="7"/>
  <c r="H196" i="4" s="1"/>
  <c r="P196" i="4"/>
  <c r="F77" i="7"/>
  <c r="F194" i="4" s="1"/>
  <c r="G73" i="3"/>
  <c r="H73" i="3" s="1"/>
  <c r="D75" i="3"/>
  <c r="E73" i="3"/>
  <c r="D73" i="4"/>
  <c r="C75" i="4"/>
  <c r="V74" i="3"/>
  <c r="W74" i="3" s="1"/>
  <c r="X74" i="3" s="1"/>
  <c r="T74" i="3"/>
  <c r="U74" i="3" s="1"/>
  <c r="B75" i="4"/>
  <c r="Q76" i="4" s="1"/>
  <c r="A76" i="3"/>
  <c r="R77" i="3" s="1"/>
  <c r="M76" i="3"/>
  <c r="H77" i="4" s="1"/>
  <c r="A76" i="4"/>
  <c r="F74" i="3"/>
  <c r="F75" i="4" s="1"/>
  <c r="H72" i="3"/>
  <c r="G73" i="4"/>
  <c r="E192" i="4" l="1"/>
  <c r="S75" i="7"/>
  <c r="G74" i="3"/>
  <c r="G75" i="4" s="1"/>
  <c r="O77" i="3"/>
  <c r="J78" i="4" s="1"/>
  <c r="Q77" i="3"/>
  <c r="P78" i="4" s="1"/>
  <c r="E73" i="4"/>
  <c r="S72" i="3"/>
  <c r="E74" i="4"/>
  <c r="S73" i="3"/>
  <c r="J197" i="4"/>
  <c r="K80" i="7"/>
  <c r="N197" i="4" s="1"/>
  <c r="I80" i="7"/>
  <c r="L197" i="4" s="1"/>
  <c r="N80" i="7"/>
  <c r="I197" i="4" s="1"/>
  <c r="L80" i="7"/>
  <c r="O197" i="4" s="1"/>
  <c r="J80" i="7"/>
  <c r="M197" i="4" s="1"/>
  <c r="L77" i="3"/>
  <c r="O78" i="4" s="1"/>
  <c r="J77" i="3"/>
  <c r="M78" i="4" s="1"/>
  <c r="N77" i="3"/>
  <c r="I78" i="4" s="1"/>
  <c r="K77" i="3"/>
  <c r="N78" i="4" s="1"/>
  <c r="I77" i="3"/>
  <c r="L78" i="4" s="1"/>
  <c r="A196" i="4"/>
  <c r="H76" i="7"/>
  <c r="G193" i="4"/>
  <c r="X78" i="7"/>
  <c r="C195" i="4"/>
  <c r="M80" i="7"/>
  <c r="H197" i="4" s="1"/>
  <c r="P197" i="4"/>
  <c r="F78" i="7"/>
  <c r="F195" i="4" s="1"/>
  <c r="A80" i="7"/>
  <c r="D79" i="7"/>
  <c r="G77" i="7"/>
  <c r="E77" i="7"/>
  <c r="D194" i="4" s="1"/>
  <c r="G74" i="4"/>
  <c r="D76" i="3"/>
  <c r="C77" i="4" s="1"/>
  <c r="C76" i="4"/>
  <c r="A77" i="3"/>
  <c r="R78" i="3" s="1"/>
  <c r="M77" i="3"/>
  <c r="H78" i="4" s="1"/>
  <c r="A77" i="4"/>
  <c r="F75" i="3"/>
  <c r="F76" i="4" s="1"/>
  <c r="V75" i="3"/>
  <c r="W75" i="3" s="1"/>
  <c r="X75" i="3" s="1"/>
  <c r="T75" i="3"/>
  <c r="U75" i="3" s="1"/>
  <c r="B76" i="4"/>
  <c r="Q77" i="4" s="1"/>
  <c r="D74" i="4"/>
  <c r="E74" i="3"/>
  <c r="H74" i="3" l="1"/>
  <c r="E75" i="4" s="1"/>
  <c r="E193" i="4"/>
  <c r="S76" i="7"/>
  <c r="O78" i="3"/>
  <c r="J79" i="4" s="1"/>
  <c r="Q78" i="3"/>
  <c r="J198" i="4"/>
  <c r="K81" i="7"/>
  <c r="N198" i="4" s="1"/>
  <c r="I81" i="7"/>
  <c r="L198" i="4" s="1"/>
  <c r="N81" i="7"/>
  <c r="I198" i="4" s="1"/>
  <c r="L81" i="7"/>
  <c r="O198" i="4" s="1"/>
  <c r="J81" i="7"/>
  <c r="M198" i="4" s="1"/>
  <c r="L78" i="3"/>
  <c r="O79" i="4" s="1"/>
  <c r="J78" i="3"/>
  <c r="M79" i="4" s="1"/>
  <c r="N78" i="3"/>
  <c r="I79" i="4" s="1"/>
  <c r="K78" i="3"/>
  <c r="N79" i="4" s="1"/>
  <c r="I78" i="3"/>
  <c r="L79" i="4" s="1"/>
  <c r="A197" i="4"/>
  <c r="H77" i="7"/>
  <c r="G194" i="4"/>
  <c r="X79" i="7"/>
  <c r="C196" i="4"/>
  <c r="G78" i="7"/>
  <c r="E78" i="7"/>
  <c r="D195" i="4" s="1"/>
  <c r="D80" i="7"/>
  <c r="M81" i="7"/>
  <c r="H198" i="4" s="1"/>
  <c r="A81" i="7"/>
  <c r="P198" i="4"/>
  <c r="F79" i="7"/>
  <c r="F196" i="4" s="1"/>
  <c r="D77" i="3"/>
  <c r="C78" i="4" s="1"/>
  <c r="G75" i="3"/>
  <c r="E75" i="3"/>
  <c r="D75" i="4"/>
  <c r="B77" i="4"/>
  <c r="Q78" i="4" s="1"/>
  <c r="T76" i="3"/>
  <c r="U76" i="3" s="1"/>
  <c r="V76" i="3"/>
  <c r="W76" i="3" s="1"/>
  <c r="X76" i="3" s="1"/>
  <c r="A78" i="3"/>
  <c r="R79" i="3" s="1"/>
  <c r="A78" i="4"/>
  <c r="P79" i="4"/>
  <c r="M78" i="3"/>
  <c r="H79" i="4" s="1"/>
  <c r="F76" i="3"/>
  <c r="F77" i="4" s="1"/>
  <c r="S74" i="3" l="1"/>
  <c r="E194" i="4"/>
  <c r="S77" i="7"/>
  <c r="O79" i="3"/>
  <c r="J80" i="4" s="1"/>
  <c r="Q79" i="3"/>
  <c r="P80" i="4" s="1"/>
  <c r="J199" i="4"/>
  <c r="K82" i="7"/>
  <c r="N199" i="4" s="1"/>
  <c r="I82" i="7"/>
  <c r="L199" i="4" s="1"/>
  <c r="N82" i="7"/>
  <c r="I199" i="4" s="1"/>
  <c r="L82" i="7"/>
  <c r="O199" i="4" s="1"/>
  <c r="J82" i="7"/>
  <c r="M199" i="4" s="1"/>
  <c r="L79" i="3"/>
  <c r="O80" i="4" s="1"/>
  <c r="J79" i="3"/>
  <c r="M80" i="4" s="1"/>
  <c r="N79" i="3"/>
  <c r="I80" i="4" s="1"/>
  <c r="K79" i="3"/>
  <c r="N80" i="4" s="1"/>
  <c r="I79" i="3"/>
  <c r="L80" i="4" s="1"/>
  <c r="A198" i="4"/>
  <c r="H78" i="7"/>
  <c r="G195" i="4"/>
  <c r="X80" i="7"/>
  <c r="C197" i="4"/>
  <c r="D81" i="7"/>
  <c r="A82" i="7"/>
  <c r="P199" i="4"/>
  <c r="F80" i="7"/>
  <c r="F197" i="4" s="1"/>
  <c r="M82" i="7"/>
  <c r="H199" i="4" s="1"/>
  <c r="G79" i="7"/>
  <c r="E79" i="7"/>
  <c r="D196" i="4" s="1"/>
  <c r="G76" i="3"/>
  <c r="G77" i="4" s="1"/>
  <c r="D78" i="3"/>
  <c r="D76" i="4"/>
  <c r="E76" i="3"/>
  <c r="V77" i="3"/>
  <c r="W77" i="3" s="1"/>
  <c r="X77" i="3" s="1"/>
  <c r="T77" i="3"/>
  <c r="U77" i="3" s="1"/>
  <c r="B78" i="4"/>
  <c r="Q79" i="4" s="1"/>
  <c r="A79" i="3"/>
  <c r="R80" i="3" s="1"/>
  <c r="A79" i="4"/>
  <c r="M79" i="3"/>
  <c r="H80" i="4" s="1"/>
  <c r="F77" i="3"/>
  <c r="F78" i="4" s="1"/>
  <c r="H75" i="3"/>
  <c r="G76" i="4"/>
  <c r="E195" i="4" l="1"/>
  <c r="S78" i="7"/>
  <c r="O80" i="3"/>
  <c r="Q80" i="3"/>
  <c r="P81" i="4" s="1"/>
  <c r="E76" i="4"/>
  <c r="S75" i="3"/>
  <c r="J200" i="4"/>
  <c r="K83" i="7"/>
  <c r="N200" i="4" s="1"/>
  <c r="I83" i="7"/>
  <c r="L200" i="4" s="1"/>
  <c r="N83" i="7"/>
  <c r="I200" i="4" s="1"/>
  <c r="L83" i="7"/>
  <c r="O200" i="4" s="1"/>
  <c r="J83" i="7"/>
  <c r="M200" i="4" s="1"/>
  <c r="J81" i="4"/>
  <c r="L80" i="3"/>
  <c r="O81" i="4" s="1"/>
  <c r="J80" i="3"/>
  <c r="M81" i="4" s="1"/>
  <c r="N80" i="3"/>
  <c r="I81" i="4" s="1"/>
  <c r="K80" i="3"/>
  <c r="N81" i="4" s="1"/>
  <c r="I80" i="3"/>
  <c r="L81" i="4" s="1"/>
  <c r="A199" i="4"/>
  <c r="H79" i="7"/>
  <c r="G196" i="4"/>
  <c r="X81" i="7"/>
  <c r="C198" i="4"/>
  <c r="E80" i="7"/>
  <c r="D197" i="4" s="1"/>
  <c r="G80" i="7"/>
  <c r="A83" i="7"/>
  <c r="D82" i="7"/>
  <c r="M83" i="7"/>
  <c r="H200" i="4" s="1"/>
  <c r="P200" i="4"/>
  <c r="F81" i="7"/>
  <c r="F198" i="4" s="1"/>
  <c r="H76" i="3"/>
  <c r="G77" i="3"/>
  <c r="G78" i="4" s="1"/>
  <c r="D79" i="3"/>
  <c r="C79" i="4"/>
  <c r="D77" i="4"/>
  <c r="E77" i="3"/>
  <c r="B79" i="4"/>
  <c r="Q80" i="4" s="1"/>
  <c r="T78" i="3"/>
  <c r="U78" i="3" s="1"/>
  <c r="V78" i="3"/>
  <c r="W78" i="3" s="1"/>
  <c r="X78" i="3" s="1"/>
  <c r="A80" i="3"/>
  <c r="R81" i="3" s="1"/>
  <c r="A80" i="4"/>
  <c r="M80" i="3"/>
  <c r="H81" i="4" s="1"/>
  <c r="F78" i="3"/>
  <c r="F79" i="4" s="1"/>
  <c r="E196" i="4" l="1"/>
  <c r="S79" i="7"/>
  <c r="O81" i="3"/>
  <c r="Q81" i="3"/>
  <c r="P82" i="4" s="1"/>
  <c r="E77" i="4"/>
  <c r="S76" i="3"/>
  <c r="J201" i="4"/>
  <c r="K84" i="7"/>
  <c r="N201" i="4" s="1"/>
  <c r="I84" i="7"/>
  <c r="L201" i="4" s="1"/>
  <c r="N84" i="7"/>
  <c r="I201" i="4" s="1"/>
  <c r="L84" i="7"/>
  <c r="O201" i="4" s="1"/>
  <c r="J84" i="7"/>
  <c r="M201" i="4" s="1"/>
  <c r="J82" i="4"/>
  <c r="L81" i="3"/>
  <c r="O82" i="4" s="1"/>
  <c r="J81" i="3"/>
  <c r="M82" i="4" s="1"/>
  <c r="N81" i="3"/>
  <c r="I82" i="4" s="1"/>
  <c r="K81" i="3"/>
  <c r="N82" i="4" s="1"/>
  <c r="I81" i="3"/>
  <c r="L82" i="4" s="1"/>
  <c r="A200" i="4"/>
  <c r="H80" i="7"/>
  <c r="G197" i="4"/>
  <c r="X82" i="7"/>
  <c r="C199" i="4"/>
  <c r="G81" i="7"/>
  <c r="E81" i="7"/>
  <c r="D198" i="4" s="1"/>
  <c r="A84" i="7"/>
  <c r="D83" i="7"/>
  <c r="P201" i="4"/>
  <c r="F82" i="7"/>
  <c r="F199" i="4" s="1"/>
  <c r="M84" i="7"/>
  <c r="H201" i="4" s="1"/>
  <c r="H77" i="3"/>
  <c r="G78" i="3"/>
  <c r="G79" i="4" s="1"/>
  <c r="D80" i="3"/>
  <c r="T79" i="3"/>
  <c r="U79" i="3" s="1"/>
  <c r="V79" i="3"/>
  <c r="W79" i="3" s="1"/>
  <c r="X79" i="3" s="1"/>
  <c r="B80" i="4"/>
  <c r="Q81" i="4" s="1"/>
  <c r="C80" i="4"/>
  <c r="A81" i="3"/>
  <c r="R82" i="3" s="1"/>
  <c r="A81" i="4"/>
  <c r="M81" i="3"/>
  <c r="H82" i="4" s="1"/>
  <c r="F79" i="3"/>
  <c r="F80" i="4" s="1"/>
  <c r="E78" i="3"/>
  <c r="D78" i="4"/>
  <c r="E197" i="4" l="1"/>
  <c r="S80" i="7"/>
  <c r="Q82" i="3"/>
  <c r="P83" i="4" s="1"/>
  <c r="O82" i="3"/>
  <c r="J83" i="4" s="1"/>
  <c r="E78" i="4"/>
  <c r="S77" i="3"/>
  <c r="J202" i="4"/>
  <c r="K85" i="7"/>
  <c r="N202" i="4" s="1"/>
  <c r="I85" i="7"/>
  <c r="L202" i="4" s="1"/>
  <c r="N85" i="7"/>
  <c r="I202" i="4" s="1"/>
  <c r="L85" i="7"/>
  <c r="O202" i="4" s="1"/>
  <c r="J85" i="7"/>
  <c r="M202" i="4" s="1"/>
  <c r="L82" i="3"/>
  <c r="O83" i="4" s="1"/>
  <c r="J82" i="3"/>
  <c r="M83" i="4" s="1"/>
  <c r="N82" i="3"/>
  <c r="I83" i="4" s="1"/>
  <c r="K82" i="3"/>
  <c r="N83" i="4" s="1"/>
  <c r="I82" i="3"/>
  <c r="L83" i="4" s="1"/>
  <c r="A201" i="4"/>
  <c r="H81" i="7"/>
  <c r="G198" i="4"/>
  <c r="X83" i="7"/>
  <c r="C200" i="4"/>
  <c r="P202" i="4"/>
  <c r="F83" i="7"/>
  <c r="F200" i="4" s="1"/>
  <c r="A85" i="7"/>
  <c r="D84" i="7"/>
  <c r="M85" i="7"/>
  <c r="H202" i="4" s="1"/>
  <c r="G82" i="7"/>
  <c r="E82" i="7"/>
  <c r="D199" i="4" s="1"/>
  <c r="H78" i="3"/>
  <c r="D81" i="3"/>
  <c r="C82" i="4" s="1"/>
  <c r="E79" i="3"/>
  <c r="D79" i="4"/>
  <c r="C81" i="4"/>
  <c r="G79" i="3"/>
  <c r="T80" i="3"/>
  <c r="U80" i="3" s="1"/>
  <c r="B81" i="4"/>
  <c r="Q82" i="4" s="1"/>
  <c r="V80" i="3"/>
  <c r="W80" i="3" s="1"/>
  <c r="X80" i="3" s="1"/>
  <c r="A82" i="4"/>
  <c r="M82" i="3"/>
  <c r="H83" i="4" s="1"/>
  <c r="A82" i="3"/>
  <c r="R83" i="3" s="1"/>
  <c r="F80" i="3"/>
  <c r="F81" i="4" s="1"/>
  <c r="G80" i="3" l="1"/>
  <c r="H80" i="3" s="1"/>
  <c r="E198" i="4"/>
  <c r="S81" i="7"/>
  <c r="Q83" i="3"/>
  <c r="O83" i="3"/>
  <c r="J84" i="4" s="1"/>
  <c r="E79" i="4"/>
  <c r="S78" i="3"/>
  <c r="J203" i="4"/>
  <c r="K86" i="7"/>
  <c r="N203" i="4" s="1"/>
  <c r="I86" i="7"/>
  <c r="L203" i="4" s="1"/>
  <c r="N86" i="7"/>
  <c r="I203" i="4" s="1"/>
  <c r="L86" i="7"/>
  <c r="O203" i="4" s="1"/>
  <c r="J86" i="7"/>
  <c r="M203" i="4" s="1"/>
  <c r="L83" i="3"/>
  <c r="O84" i="4" s="1"/>
  <c r="J83" i="3"/>
  <c r="M84" i="4" s="1"/>
  <c r="N83" i="3"/>
  <c r="I84" i="4" s="1"/>
  <c r="K83" i="3"/>
  <c r="N84" i="4" s="1"/>
  <c r="I83" i="3"/>
  <c r="L84" i="4" s="1"/>
  <c r="A202" i="4"/>
  <c r="H82" i="7"/>
  <c r="G199" i="4"/>
  <c r="X84" i="7"/>
  <c r="C201" i="4"/>
  <c r="E83" i="7"/>
  <c r="D200" i="4" s="1"/>
  <c r="G83" i="7"/>
  <c r="P203" i="4"/>
  <c r="F84" i="7"/>
  <c r="F201" i="4" s="1"/>
  <c r="M86" i="7"/>
  <c r="H203" i="4" s="1"/>
  <c r="D85" i="7"/>
  <c r="A86" i="7"/>
  <c r="D82" i="3"/>
  <c r="T81" i="3"/>
  <c r="U81" i="3" s="1"/>
  <c r="B82" i="4"/>
  <c r="Q83" i="4" s="1"/>
  <c r="V81" i="3"/>
  <c r="W81" i="3" s="1"/>
  <c r="X81" i="3" s="1"/>
  <c r="A83" i="4"/>
  <c r="A83" i="3"/>
  <c r="R84" i="3" s="1"/>
  <c r="M83" i="3"/>
  <c r="H84" i="4" s="1"/>
  <c r="P84" i="4"/>
  <c r="F81" i="3"/>
  <c r="F82" i="4" s="1"/>
  <c r="H79" i="3"/>
  <c r="G80" i="4"/>
  <c r="E80" i="3"/>
  <c r="D80" i="4"/>
  <c r="G81" i="4" l="1"/>
  <c r="E199" i="4"/>
  <c r="S82" i="7"/>
  <c r="O84" i="3"/>
  <c r="Q84" i="3"/>
  <c r="E80" i="4"/>
  <c r="S79" i="3"/>
  <c r="E81" i="4"/>
  <c r="S80" i="3"/>
  <c r="J204" i="4"/>
  <c r="K87" i="7"/>
  <c r="N204" i="4" s="1"/>
  <c r="I87" i="7"/>
  <c r="L204" i="4" s="1"/>
  <c r="N87" i="7"/>
  <c r="I204" i="4" s="1"/>
  <c r="L87" i="7"/>
  <c r="O204" i="4" s="1"/>
  <c r="J87" i="7"/>
  <c r="M204" i="4" s="1"/>
  <c r="J85" i="4"/>
  <c r="L84" i="3"/>
  <c r="O85" i="4" s="1"/>
  <c r="J84" i="3"/>
  <c r="M85" i="4" s="1"/>
  <c r="N84" i="3"/>
  <c r="I85" i="4" s="1"/>
  <c r="K84" i="3"/>
  <c r="N85" i="4" s="1"/>
  <c r="I84" i="3"/>
  <c r="L85" i="4" s="1"/>
  <c r="A203" i="4"/>
  <c r="H83" i="7"/>
  <c r="G200" i="4"/>
  <c r="X85" i="7"/>
  <c r="C202" i="4"/>
  <c r="G84" i="7"/>
  <c r="E84" i="7"/>
  <c r="D201" i="4" s="1"/>
  <c r="A87" i="7"/>
  <c r="D86" i="7"/>
  <c r="M87" i="7"/>
  <c r="H204" i="4" s="1"/>
  <c r="P204" i="4"/>
  <c r="F85" i="7"/>
  <c r="F202" i="4" s="1"/>
  <c r="D83" i="3"/>
  <c r="C83" i="4"/>
  <c r="D81" i="4"/>
  <c r="E81" i="3"/>
  <c r="M84" i="3"/>
  <c r="H85" i="4" s="1"/>
  <c r="A84" i="3"/>
  <c r="R85" i="3" s="1"/>
  <c r="P85" i="4"/>
  <c r="A84" i="4"/>
  <c r="F82" i="3"/>
  <c r="F83" i="4" s="1"/>
  <c r="T82" i="3"/>
  <c r="U82" i="3" s="1"/>
  <c r="B83" i="4"/>
  <c r="Q84" i="4" s="1"/>
  <c r="V82" i="3"/>
  <c r="W82" i="3" s="1"/>
  <c r="X82" i="3" s="1"/>
  <c r="G81" i="3"/>
  <c r="E200" i="4" l="1"/>
  <c r="S83" i="7"/>
  <c r="O85" i="3"/>
  <c r="J86" i="4" s="1"/>
  <c r="Q85" i="3"/>
  <c r="P86" i="4" s="1"/>
  <c r="J205" i="4"/>
  <c r="K88" i="7"/>
  <c r="N205" i="4" s="1"/>
  <c r="I88" i="7"/>
  <c r="L205" i="4" s="1"/>
  <c r="N88" i="7"/>
  <c r="I205" i="4" s="1"/>
  <c r="L88" i="7"/>
  <c r="O205" i="4" s="1"/>
  <c r="J88" i="7"/>
  <c r="M205" i="4" s="1"/>
  <c r="L85" i="3"/>
  <c r="O86" i="4" s="1"/>
  <c r="J85" i="3"/>
  <c r="M86" i="4" s="1"/>
  <c r="N85" i="3"/>
  <c r="I86" i="4" s="1"/>
  <c r="K85" i="3"/>
  <c r="N86" i="4" s="1"/>
  <c r="I85" i="3"/>
  <c r="L86" i="4" s="1"/>
  <c r="A204" i="4"/>
  <c r="H84" i="7"/>
  <c r="G201" i="4"/>
  <c r="X86" i="7"/>
  <c r="C203" i="4"/>
  <c r="P205" i="4"/>
  <c r="F86" i="7"/>
  <c r="F203" i="4" s="1"/>
  <c r="M88" i="7"/>
  <c r="H205" i="4" s="1"/>
  <c r="A88" i="7"/>
  <c r="D87" i="7"/>
  <c r="G85" i="7"/>
  <c r="E85" i="7"/>
  <c r="D202" i="4" s="1"/>
  <c r="G82" i="3"/>
  <c r="G83" i="4" s="1"/>
  <c r="D84" i="3"/>
  <c r="C85" i="4" s="1"/>
  <c r="B84" i="4"/>
  <c r="Q85" i="4" s="1"/>
  <c r="T83" i="3"/>
  <c r="U83" i="3" s="1"/>
  <c r="V83" i="3"/>
  <c r="W83" i="3" s="1"/>
  <c r="X83" i="3" s="1"/>
  <c r="E82" i="3"/>
  <c r="D82" i="4"/>
  <c r="G82" i="4"/>
  <c r="H81" i="3"/>
  <c r="M85" i="3"/>
  <c r="H86" i="4" s="1"/>
  <c r="A85" i="3"/>
  <c r="R86" i="3" s="1"/>
  <c r="A85" i="4"/>
  <c r="F83" i="3"/>
  <c r="F84" i="4" s="1"/>
  <c r="C84" i="4"/>
  <c r="E201" i="4" l="1"/>
  <c r="S84" i="7"/>
  <c r="O86" i="3"/>
  <c r="Q86" i="3"/>
  <c r="P87" i="4" s="1"/>
  <c r="E82" i="4"/>
  <c r="S81" i="3"/>
  <c r="A205" i="4"/>
  <c r="J206" i="4"/>
  <c r="L89" i="7"/>
  <c r="O206" i="4" s="1"/>
  <c r="J89" i="7"/>
  <c r="M206" i="4" s="1"/>
  <c r="N89" i="7"/>
  <c r="I206" i="4" s="1"/>
  <c r="K89" i="7"/>
  <c r="N206" i="4" s="1"/>
  <c r="I89" i="7"/>
  <c r="L206" i="4" s="1"/>
  <c r="J87" i="4"/>
  <c r="L86" i="3"/>
  <c r="O87" i="4" s="1"/>
  <c r="J86" i="3"/>
  <c r="M87" i="4" s="1"/>
  <c r="N86" i="3"/>
  <c r="I87" i="4" s="1"/>
  <c r="K86" i="3"/>
  <c r="N87" i="4" s="1"/>
  <c r="I86" i="3"/>
  <c r="L87" i="4" s="1"/>
  <c r="H82" i="3"/>
  <c r="H85" i="7"/>
  <c r="G202" i="4"/>
  <c r="X87" i="7"/>
  <c r="C204" i="4"/>
  <c r="G86" i="7"/>
  <c r="E86" i="7"/>
  <c r="D203" i="4" s="1"/>
  <c r="A89" i="7"/>
  <c r="A206" i="4" s="1"/>
  <c r="M89" i="7"/>
  <c r="H206" i="4" s="1"/>
  <c r="F87" i="7"/>
  <c r="F204" i="4" s="1"/>
  <c r="D88" i="7"/>
  <c r="D85" i="3"/>
  <c r="C86" i="4" s="1"/>
  <c r="A86" i="3"/>
  <c r="R87" i="3" s="1"/>
  <c r="A86" i="4"/>
  <c r="M86" i="3"/>
  <c r="H87" i="4" s="1"/>
  <c r="F84" i="3"/>
  <c r="F85" i="4" s="1"/>
  <c r="D83" i="4"/>
  <c r="E83" i="3"/>
  <c r="G83" i="3"/>
  <c r="B85" i="4"/>
  <c r="Q86" i="4" s="1"/>
  <c r="T84" i="3"/>
  <c r="U84" i="3" s="1"/>
  <c r="V84" i="3"/>
  <c r="W84" i="3" s="1"/>
  <c r="X84" i="3" s="1"/>
  <c r="E202" i="4" l="1"/>
  <c r="S85" i="7"/>
  <c r="O87" i="3"/>
  <c r="Q87" i="3"/>
  <c r="P88" i="4" s="1"/>
  <c r="E83" i="4"/>
  <c r="S82" i="3"/>
  <c r="J88" i="4"/>
  <c r="L87" i="3"/>
  <c r="O88" i="4" s="1"/>
  <c r="J87" i="3"/>
  <c r="M88" i="4" s="1"/>
  <c r="N87" i="3"/>
  <c r="I88" i="4" s="1"/>
  <c r="K87" i="3"/>
  <c r="N88" i="4" s="1"/>
  <c r="I87" i="3"/>
  <c r="L88" i="4" s="1"/>
  <c r="H86" i="7"/>
  <c r="G203" i="4"/>
  <c r="X88" i="7"/>
  <c r="C205" i="4"/>
  <c r="D89" i="7"/>
  <c r="R90" i="7"/>
  <c r="Q90" i="7"/>
  <c r="P207" i="4" s="1"/>
  <c r="A90" i="7"/>
  <c r="A207" i="4" s="1"/>
  <c r="F88" i="7"/>
  <c r="F205" i="4" s="1"/>
  <c r="M90" i="7"/>
  <c r="G87" i="7"/>
  <c r="E87" i="7"/>
  <c r="D204" i="4" s="1"/>
  <c r="G84" i="3"/>
  <c r="G85" i="4" s="1"/>
  <c r="D86" i="3"/>
  <c r="C87" i="4" s="1"/>
  <c r="G84" i="4"/>
  <c r="H83" i="3"/>
  <c r="T85" i="3"/>
  <c r="U85" i="3" s="1"/>
  <c r="V85" i="3"/>
  <c r="W85" i="3" s="1"/>
  <c r="X85" i="3" s="1"/>
  <c r="B86" i="4"/>
  <c r="Q87" i="4" s="1"/>
  <c r="A87" i="3"/>
  <c r="R88" i="3" s="1"/>
  <c r="A87" i="4"/>
  <c r="M87" i="3"/>
  <c r="H88" i="4" s="1"/>
  <c r="F85" i="3"/>
  <c r="F86" i="4" s="1"/>
  <c r="D84" i="4"/>
  <c r="E84" i="3"/>
  <c r="E203" i="4" l="1"/>
  <c r="S86" i="7"/>
  <c r="O88" i="3"/>
  <c r="Q88" i="3"/>
  <c r="P89" i="4" s="1"/>
  <c r="E84" i="4"/>
  <c r="S83" i="3"/>
  <c r="J89" i="4"/>
  <c r="L88" i="3"/>
  <c r="O89" i="4" s="1"/>
  <c r="J88" i="3"/>
  <c r="M89" i="4" s="1"/>
  <c r="N88" i="3"/>
  <c r="I89" i="4" s="1"/>
  <c r="K88" i="3"/>
  <c r="N89" i="4" s="1"/>
  <c r="I88" i="3"/>
  <c r="L89" i="4" s="1"/>
  <c r="H87" i="7"/>
  <c r="G204" i="4"/>
  <c r="X89" i="7"/>
  <c r="C206" i="4"/>
  <c r="Q91" i="7"/>
  <c r="P208" i="4" s="1"/>
  <c r="M91" i="7"/>
  <c r="D90" i="7"/>
  <c r="A91" i="7"/>
  <c r="A208" i="4" s="1"/>
  <c r="F89" i="7"/>
  <c r="F206" i="4" s="1"/>
  <c r="R91" i="7"/>
  <c r="E88" i="7"/>
  <c r="G88" i="7"/>
  <c r="G205" i="4" s="1"/>
  <c r="H84" i="3"/>
  <c r="D87" i="3"/>
  <c r="C88" i="4" s="1"/>
  <c r="T86" i="3"/>
  <c r="U86" i="3" s="1"/>
  <c r="V86" i="3"/>
  <c r="W86" i="3" s="1"/>
  <c r="X86" i="3" s="1"/>
  <c r="B87" i="4"/>
  <c r="Q88" i="4" s="1"/>
  <c r="D85" i="4"/>
  <c r="E85" i="3"/>
  <c r="A88" i="3"/>
  <c r="O89" i="3" s="1"/>
  <c r="A88" i="4"/>
  <c r="M88" i="3"/>
  <c r="H89" i="4" s="1"/>
  <c r="F86" i="3"/>
  <c r="F87" i="4" s="1"/>
  <c r="G85" i="3"/>
  <c r="G86" i="4" s="1"/>
  <c r="E204" i="4" l="1"/>
  <c r="S87" i="7"/>
  <c r="E85" i="4"/>
  <c r="S84" i="3"/>
  <c r="J90" i="4"/>
  <c r="L89" i="3"/>
  <c r="O90" i="4" s="1"/>
  <c r="J89" i="3"/>
  <c r="M90" i="4" s="1"/>
  <c r="N89" i="3"/>
  <c r="I90" i="4" s="1"/>
  <c r="K89" i="3"/>
  <c r="N90" i="4" s="1"/>
  <c r="I89" i="3"/>
  <c r="L90" i="4" s="1"/>
  <c r="E89" i="7"/>
  <c r="D205" i="4"/>
  <c r="X90" i="7"/>
  <c r="C207" i="4"/>
  <c r="G89" i="7"/>
  <c r="R89" i="7" s="1"/>
  <c r="Q92" i="7"/>
  <c r="P209" i="4" s="1"/>
  <c r="D91" i="7"/>
  <c r="A92" i="7"/>
  <c r="A209" i="4" s="1"/>
  <c r="M92" i="7"/>
  <c r="R92" i="7"/>
  <c r="F90" i="7"/>
  <c r="H88" i="7"/>
  <c r="D88" i="3"/>
  <c r="C89" i="4" s="1"/>
  <c r="A89" i="4"/>
  <c r="A89" i="3"/>
  <c r="M89" i="3"/>
  <c r="H90" i="4" s="1"/>
  <c r="F87" i="3"/>
  <c r="F88" i="4" s="1"/>
  <c r="H85" i="3"/>
  <c r="V87" i="3"/>
  <c r="W87" i="3" s="1"/>
  <c r="X87" i="3" s="1"/>
  <c r="B88" i="4"/>
  <c r="Q89" i="4" s="1"/>
  <c r="T87" i="3"/>
  <c r="U87" i="3" s="1"/>
  <c r="E86" i="3"/>
  <c r="D86" i="4"/>
  <c r="G86" i="3"/>
  <c r="G87" i="4" s="1"/>
  <c r="E205" i="4" l="1"/>
  <c r="S88" i="7"/>
  <c r="Q89" i="7" s="1"/>
  <c r="P206" i="4" s="1"/>
  <c r="E86" i="4"/>
  <c r="S85" i="3"/>
  <c r="F207" i="4"/>
  <c r="G90" i="7"/>
  <c r="G207" i="4" s="1"/>
  <c r="D206" i="4"/>
  <c r="G206" i="4"/>
  <c r="X91" i="7"/>
  <c r="C208" i="4"/>
  <c r="E90" i="7"/>
  <c r="D207" i="4" s="1"/>
  <c r="H89" i="7"/>
  <c r="E206" i="4" s="1"/>
  <c r="Q206" i="4" s="1"/>
  <c r="M93" i="7"/>
  <c r="D92" i="7"/>
  <c r="F91" i="7"/>
  <c r="F208" i="4" s="1"/>
  <c r="A93" i="7"/>
  <c r="A210" i="4" s="1"/>
  <c r="R93" i="7"/>
  <c r="Q93" i="7"/>
  <c r="P210" i="4" s="1"/>
  <c r="G87" i="3"/>
  <c r="H87" i="3" s="1"/>
  <c r="D89" i="3"/>
  <c r="A90" i="3"/>
  <c r="M90" i="3"/>
  <c r="H91" i="4" s="1"/>
  <c r="F88" i="3"/>
  <c r="F89" i="4" s="1"/>
  <c r="D87" i="4"/>
  <c r="E87" i="3"/>
  <c r="T88" i="3"/>
  <c r="U88" i="3" s="1"/>
  <c r="B89" i="4"/>
  <c r="V88" i="3"/>
  <c r="W88" i="3" s="1"/>
  <c r="X88" i="3" s="1"/>
  <c r="H86" i="3"/>
  <c r="E87" i="4" l="1"/>
  <c r="S86" i="3"/>
  <c r="E88" i="4"/>
  <c r="S87" i="3"/>
  <c r="B43" i="8"/>
  <c r="H90" i="7"/>
  <c r="E207" i="4" s="1"/>
  <c r="X92" i="7"/>
  <c r="C209" i="4"/>
  <c r="E91" i="7"/>
  <c r="D208" i="4" s="1"/>
  <c r="G91" i="7"/>
  <c r="A94" i="7"/>
  <c r="A211" i="4" s="1"/>
  <c r="Q94" i="7"/>
  <c r="P211" i="4" s="1"/>
  <c r="F92" i="7"/>
  <c r="F209" i="4" s="1"/>
  <c r="M94" i="7"/>
  <c r="D93" i="7"/>
  <c r="R94" i="7"/>
  <c r="G88" i="3"/>
  <c r="G89" i="4" s="1"/>
  <c r="G88" i="4"/>
  <c r="D90" i="3"/>
  <c r="D88" i="4"/>
  <c r="E88" i="3"/>
  <c r="B90" i="4"/>
  <c r="V89" i="3"/>
  <c r="W89" i="3" s="1"/>
  <c r="X89" i="3" s="1"/>
  <c r="T89" i="3"/>
  <c r="U89" i="3" s="1"/>
  <c r="A91" i="4"/>
  <c r="A91" i="3"/>
  <c r="M91" i="3"/>
  <c r="H92" i="4" s="1"/>
  <c r="F89" i="3"/>
  <c r="F90" i="4" s="1"/>
  <c r="C90" i="4"/>
  <c r="H91" i="7" l="1"/>
  <c r="E208" i="4" s="1"/>
  <c r="G208" i="4"/>
  <c r="X93" i="7"/>
  <c r="C210" i="4"/>
  <c r="G92" i="7"/>
  <c r="E92" i="7"/>
  <c r="D209" i="4" s="1"/>
  <c r="A95" i="7"/>
  <c r="A212" i="4" s="1"/>
  <c r="Q95" i="7"/>
  <c r="P212" i="4" s="1"/>
  <c r="M95" i="7"/>
  <c r="D94" i="7"/>
  <c r="F93" i="7"/>
  <c r="F210" i="4" s="1"/>
  <c r="R95" i="7"/>
  <c r="G89" i="3"/>
  <c r="R89" i="3" s="1"/>
  <c r="H88" i="3"/>
  <c r="R92" i="3"/>
  <c r="D91" i="3"/>
  <c r="C92" i="4" s="1"/>
  <c r="C91" i="4"/>
  <c r="B91" i="4"/>
  <c r="V90" i="3"/>
  <c r="W90" i="3" s="1"/>
  <c r="X90" i="3" s="1"/>
  <c r="T90" i="3"/>
  <c r="U90" i="3" s="1"/>
  <c r="E89" i="3"/>
  <c r="D89" i="4"/>
  <c r="A92" i="3"/>
  <c r="Q92" i="3"/>
  <c r="P93" i="4" s="1"/>
  <c r="A92" i="4"/>
  <c r="M92" i="3"/>
  <c r="H93" i="4" s="1"/>
  <c r="F90" i="3"/>
  <c r="E89" i="4" l="1"/>
  <c r="S88" i="3"/>
  <c r="Q89" i="3" s="1"/>
  <c r="G90" i="4"/>
  <c r="H92" i="7"/>
  <c r="E209" i="4" s="1"/>
  <c r="G209" i="4"/>
  <c r="X94" i="7"/>
  <c r="C211" i="4"/>
  <c r="G93" i="7"/>
  <c r="E93" i="7"/>
  <c r="D210" i="4" s="1"/>
  <c r="Q96" i="7"/>
  <c r="P213" i="4" s="1"/>
  <c r="A96" i="7"/>
  <c r="A213" i="4" s="1"/>
  <c r="R96" i="7"/>
  <c r="M96" i="7"/>
  <c r="D95" i="7"/>
  <c r="F94" i="7"/>
  <c r="F211" i="4" s="1"/>
  <c r="G90" i="3"/>
  <c r="G91" i="4" s="1"/>
  <c r="H89" i="3"/>
  <c r="R90" i="3"/>
  <c r="R93" i="3"/>
  <c r="D92" i="3"/>
  <c r="C93" i="4" s="1"/>
  <c r="F91" i="4"/>
  <c r="B92" i="4"/>
  <c r="Q93" i="4" s="1"/>
  <c r="T91" i="3"/>
  <c r="U91" i="3" s="1"/>
  <c r="V91" i="3"/>
  <c r="W91" i="3" s="1"/>
  <c r="X91" i="3" s="1"/>
  <c r="E90" i="3"/>
  <c r="D90" i="4"/>
  <c r="A93" i="4"/>
  <c r="A93" i="3"/>
  <c r="Q93" i="3"/>
  <c r="P94" i="4" s="1"/>
  <c r="M93" i="3"/>
  <c r="H94" i="4" s="1"/>
  <c r="F91" i="3"/>
  <c r="F92" i="4" s="1"/>
  <c r="H93" i="7" l="1"/>
  <c r="E210" i="4" s="1"/>
  <c r="G210" i="4"/>
  <c r="X95" i="7"/>
  <c r="C212" i="4"/>
  <c r="E94" i="7"/>
  <c r="D211" i="4" s="1"/>
  <c r="G94" i="7"/>
  <c r="Q97" i="7"/>
  <c r="P214" i="4" s="1"/>
  <c r="A97" i="7"/>
  <c r="A214" i="4" s="1"/>
  <c r="R97" i="7"/>
  <c r="M97" i="7"/>
  <c r="D96" i="7"/>
  <c r="F95" i="7"/>
  <c r="F212" i="4" s="1"/>
  <c r="P90" i="4"/>
  <c r="H90" i="3"/>
  <c r="E91" i="4" s="1"/>
  <c r="Q91" i="4" s="1"/>
  <c r="G91" i="3"/>
  <c r="Q91" i="3"/>
  <c r="P92" i="4" s="1"/>
  <c r="E90" i="4"/>
  <c r="Q90" i="4" s="1"/>
  <c r="Q90" i="3"/>
  <c r="P91" i="4" s="1"/>
  <c r="R94" i="3"/>
  <c r="D93" i="3"/>
  <c r="C94" i="4" s="1"/>
  <c r="V92" i="3"/>
  <c r="W92" i="3" s="1"/>
  <c r="X92" i="3" s="1"/>
  <c r="T92" i="3"/>
  <c r="U92" i="3" s="1"/>
  <c r="B93" i="4"/>
  <c r="Q94" i="4" s="1"/>
  <c r="E91" i="3"/>
  <c r="D91" i="4"/>
  <c r="A94" i="3"/>
  <c r="Q94" i="3"/>
  <c r="P95" i="4" s="1"/>
  <c r="A94" i="4"/>
  <c r="M94" i="3"/>
  <c r="H95" i="4" s="1"/>
  <c r="F92" i="3"/>
  <c r="F93" i="4" s="1"/>
  <c r="H94" i="7" l="1"/>
  <c r="E211" i="4" s="1"/>
  <c r="G211" i="4"/>
  <c r="X96" i="7"/>
  <c r="C213" i="4"/>
  <c r="E95" i="7"/>
  <c r="D212" i="4" s="1"/>
  <c r="G95" i="7"/>
  <c r="Q98" i="7"/>
  <c r="P215" i="4" s="1"/>
  <c r="M98" i="7"/>
  <c r="D97" i="7"/>
  <c r="F96" i="7"/>
  <c r="F213" i="4" s="1"/>
  <c r="R98" i="7"/>
  <c r="A98" i="7"/>
  <c r="A215" i="4" s="1"/>
  <c r="G92" i="3"/>
  <c r="G92" i="4"/>
  <c r="R91" i="3"/>
  <c r="R95" i="3"/>
  <c r="D94" i="3"/>
  <c r="B94" i="4"/>
  <c r="Q95" i="4" s="1"/>
  <c r="T93" i="3"/>
  <c r="U93" i="3" s="1"/>
  <c r="V93" i="3"/>
  <c r="W93" i="3" s="1"/>
  <c r="X93" i="3" s="1"/>
  <c r="A95" i="3"/>
  <c r="M95" i="3"/>
  <c r="H96" i="4" s="1"/>
  <c r="A95" i="4"/>
  <c r="Q95" i="3"/>
  <c r="P96" i="4" s="1"/>
  <c r="F93" i="3"/>
  <c r="F94" i="4" s="1"/>
  <c r="D92" i="4"/>
  <c r="E92" i="3"/>
  <c r="H91" i="3"/>
  <c r="E92" i="4" s="1"/>
  <c r="Q92" i="4" s="1"/>
  <c r="H95" i="7" l="1"/>
  <c r="E212" i="4" s="1"/>
  <c r="G212" i="4"/>
  <c r="X97" i="7"/>
  <c r="C214" i="4"/>
  <c r="G96" i="7"/>
  <c r="E96" i="7"/>
  <c r="D213" i="4" s="1"/>
  <c r="Q99" i="7"/>
  <c r="P216" i="4" s="1"/>
  <c r="R99" i="7"/>
  <c r="A99" i="7"/>
  <c r="A216" i="4" s="1"/>
  <c r="M99" i="7"/>
  <c r="D98" i="7"/>
  <c r="F97" i="7"/>
  <c r="F214" i="4" s="1"/>
  <c r="G93" i="3"/>
  <c r="R96" i="3"/>
  <c r="D95" i="3"/>
  <c r="C96" i="4" s="1"/>
  <c r="D93" i="4"/>
  <c r="E93" i="3"/>
  <c r="C95" i="4"/>
  <c r="B95" i="4"/>
  <c r="Q96" i="4" s="1"/>
  <c r="T94" i="3"/>
  <c r="U94" i="3" s="1"/>
  <c r="V94" i="3"/>
  <c r="W94" i="3" s="1"/>
  <c r="X94" i="3" s="1"/>
  <c r="G93" i="4"/>
  <c r="H92" i="3"/>
  <c r="E93" i="4" s="1"/>
  <c r="A96" i="3"/>
  <c r="Q96" i="3"/>
  <c r="P97" i="4" s="1"/>
  <c r="A96" i="4"/>
  <c r="M96" i="3"/>
  <c r="H97" i="4" s="1"/>
  <c r="F94" i="3"/>
  <c r="F95" i="4" s="1"/>
  <c r="H96" i="7" l="1"/>
  <c r="E213" i="4" s="1"/>
  <c r="G213" i="4"/>
  <c r="X98" i="7"/>
  <c r="C215" i="4"/>
  <c r="G97" i="7"/>
  <c r="E97" i="7"/>
  <c r="D214" i="4" s="1"/>
  <c r="Q100" i="7"/>
  <c r="P217" i="4" s="1"/>
  <c r="F98" i="7"/>
  <c r="F215" i="4" s="1"/>
  <c r="M100" i="7"/>
  <c r="D99" i="7"/>
  <c r="A100" i="7"/>
  <c r="A217" i="4" s="1"/>
  <c r="R100" i="7"/>
  <c r="G94" i="3"/>
  <c r="H94" i="3" s="1"/>
  <c r="E95" i="4" s="1"/>
  <c r="R97" i="3"/>
  <c r="D96" i="3"/>
  <c r="A97" i="3"/>
  <c r="Q97" i="3"/>
  <c r="P98" i="4" s="1"/>
  <c r="M97" i="3"/>
  <c r="H98" i="4" s="1"/>
  <c r="A97" i="4"/>
  <c r="F95" i="3"/>
  <c r="G94" i="4"/>
  <c r="H93" i="3"/>
  <c r="E94" i="4" s="1"/>
  <c r="E94" i="3"/>
  <c r="D94" i="4"/>
  <c r="V95" i="3"/>
  <c r="W95" i="3" s="1"/>
  <c r="X95" i="3" s="1"/>
  <c r="B96" i="4"/>
  <c r="Q97" i="4" s="1"/>
  <c r="T95" i="3"/>
  <c r="U95" i="3" s="1"/>
  <c r="G95" i="3" s="1"/>
  <c r="G96" i="4" s="1"/>
  <c r="H97" i="7" l="1"/>
  <c r="E214" i="4" s="1"/>
  <c r="G214" i="4"/>
  <c r="X99" i="7"/>
  <c r="C216" i="4"/>
  <c r="E98" i="7"/>
  <c r="D215" i="4" s="1"/>
  <c r="G98" i="7"/>
  <c r="M101" i="7"/>
  <c r="D100" i="7"/>
  <c r="A101" i="7"/>
  <c r="A218" i="4" s="1"/>
  <c r="Q101" i="7"/>
  <c r="P218" i="4" s="1"/>
  <c r="F99" i="7"/>
  <c r="F216" i="4" s="1"/>
  <c r="R101" i="7"/>
  <c r="G95" i="4"/>
  <c r="R98" i="3"/>
  <c r="D97" i="3"/>
  <c r="C98" i="4" s="1"/>
  <c r="D95" i="4"/>
  <c r="E95" i="3"/>
  <c r="A98" i="4"/>
  <c r="M98" i="3"/>
  <c r="H99" i="4" s="1"/>
  <c r="A98" i="3"/>
  <c r="Q98" i="3"/>
  <c r="P99" i="4" s="1"/>
  <c r="F96" i="3"/>
  <c r="F97" i="4" s="1"/>
  <c r="F96" i="4"/>
  <c r="H95" i="3"/>
  <c r="E96" i="4" s="1"/>
  <c r="B97" i="4"/>
  <c r="Q98" i="4" s="1"/>
  <c r="V96" i="3"/>
  <c r="W96" i="3" s="1"/>
  <c r="X96" i="3" s="1"/>
  <c r="T96" i="3"/>
  <c r="U96" i="3" s="1"/>
  <c r="C97" i="4"/>
  <c r="H98" i="7" l="1"/>
  <c r="E215" i="4" s="1"/>
  <c r="G215" i="4"/>
  <c r="X100" i="7"/>
  <c r="C217" i="4"/>
  <c r="E99" i="7"/>
  <c r="D216" i="4" s="1"/>
  <c r="G99" i="7"/>
  <c r="Q102" i="7"/>
  <c r="P219" i="4" s="1"/>
  <c r="F100" i="7"/>
  <c r="F217" i="4" s="1"/>
  <c r="M102" i="7"/>
  <c r="D101" i="7"/>
  <c r="A102" i="7"/>
  <c r="A219" i="4" s="1"/>
  <c r="R102" i="7"/>
  <c r="G96" i="3"/>
  <c r="G97" i="4" s="1"/>
  <c r="R99" i="3"/>
  <c r="D98" i="3"/>
  <c r="C99" i="4" s="1"/>
  <c r="B98" i="4"/>
  <c r="Q99" i="4" s="1"/>
  <c r="T97" i="3"/>
  <c r="U97" i="3" s="1"/>
  <c r="V97" i="3"/>
  <c r="W97" i="3" s="1"/>
  <c r="X97" i="3" s="1"/>
  <c r="E96" i="3"/>
  <c r="D96" i="4"/>
  <c r="Q99" i="3"/>
  <c r="P100" i="4" s="1"/>
  <c r="A99" i="4"/>
  <c r="A99" i="3"/>
  <c r="M99" i="3"/>
  <c r="H100" i="4" s="1"/>
  <c r="F97" i="3"/>
  <c r="F98" i="4" s="1"/>
  <c r="H99" i="7" l="1"/>
  <c r="E216" i="4" s="1"/>
  <c r="G216" i="4"/>
  <c r="X101" i="7"/>
  <c r="C218" i="4"/>
  <c r="E100" i="7"/>
  <c r="D217" i="4" s="1"/>
  <c r="G100" i="7"/>
  <c r="Q103" i="7"/>
  <c r="P220" i="4" s="1"/>
  <c r="A103" i="7"/>
  <c r="A220" i="4" s="1"/>
  <c r="R103" i="7"/>
  <c r="M103" i="7"/>
  <c r="D102" i="7"/>
  <c r="F101" i="7"/>
  <c r="F218" i="4" s="1"/>
  <c r="G97" i="3"/>
  <c r="H96" i="3"/>
  <c r="E97" i="4" s="1"/>
  <c r="R100" i="3"/>
  <c r="D99" i="3"/>
  <c r="C100" i="4" s="1"/>
  <c r="T98" i="3"/>
  <c r="U98" i="3" s="1"/>
  <c r="V98" i="3"/>
  <c r="W98" i="3" s="1"/>
  <c r="X98" i="3" s="1"/>
  <c r="B99" i="4"/>
  <c r="Q100" i="4" s="1"/>
  <c r="E97" i="3"/>
  <c r="D97" i="4"/>
  <c r="A100" i="3"/>
  <c r="Q100" i="3"/>
  <c r="P101" i="4" s="1"/>
  <c r="A100" i="4"/>
  <c r="M100" i="3"/>
  <c r="H101" i="4" s="1"/>
  <c r="F98" i="3"/>
  <c r="F99" i="4" s="1"/>
  <c r="H100" i="7" l="1"/>
  <c r="E217" i="4" s="1"/>
  <c r="G217" i="4"/>
  <c r="X102" i="7"/>
  <c r="C219" i="4"/>
  <c r="E101" i="7"/>
  <c r="D218" i="4" s="1"/>
  <c r="G101" i="7"/>
  <c r="Q104" i="7"/>
  <c r="P221" i="4" s="1"/>
  <c r="R104" i="7"/>
  <c r="M104" i="7"/>
  <c r="D103" i="7"/>
  <c r="F102" i="7"/>
  <c r="F219" i="4" s="1"/>
  <c r="A104" i="7"/>
  <c r="A221" i="4" s="1"/>
  <c r="G98" i="3"/>
  <c r="G99" i="4" s="1"/>
  <c r="R101" i="3"/>
  <c r="D100" i="3"/>
  <c r="A101" i="3"/>
  <c r="Q101" i="3"/>
  <c r="P102" i="4" s="1"/>
  <c r="M101" i="3"/>
  <c r="H102" i="4" s="1"/>
  <c r="A101" i="4"/>
  <c r="F99" i="3"/>
  <c r="F100" i="4" s="1"/>
  <c r="G98" i="4"/>
  <c r="H97" i="3"/>
  <c r="E98" i="4" s="1"/>
  <c r="E98" i="3"/>
  <c r="D98" i="4"/>
  <c r="T99" i="3"/>
  <c r="U99" i="3" s="1"/>
  <c r="V99" i="3"/>
  <c r="W99" i="3" s="1"/>
  <c r="X99" i="3" s="1"/>
  <c r="B100" i="4"/>
  <c r="Q101" i="4" s="1"/>
  <c r="H101" i="7" l="1"/>
  <c r="E218" i="4" s="1"/>
  <c r="G218" i="4"/>
  <c r="X103" i="7"/>
  <c r="C220" i="4"/>
  <c r="G102" i="7"/>
  <c r="E102" i="7"/>
  <c r="D219" i="4" s="1"/>
  <c r="Q105" i="7"/>
  <c r="P222" i="4" s="1"/>
  <c r="F103" i="7"/>
  <c r="F220" i="4" s="1"/>
  <c r="A105" i="7"/>
  <c r="A222" i="4" s="1"/>
  <c r="M105" i="7"/>
  <c r="D104" i="7"/>
  <c r="R105" i="7"/>
  <c r="G99" i="3"/>
  <c r="G100" i="4" s="1"/>
  <c r="H98" i="3"/>
  <c r="E99" i="4" s="1"/>
  <c r="R102" i="3"/>
  <c r="D101" i="3"/>
  <c r="C102" i="4" s="1"/>
  <c r="V100" i="3"/>
  <c r="W100" i="3" s="1"/>
  <c r="X100" i="3" s="1"/>
  <c r="B101" i="4"/>
  <c r="Q102" i="4" s="1"/>
  <c r="T100" i="3"/>
  <c r="U100" i="3" s="1"/>
  <c r="G100" i="3" s="1"/>
  <c r="G101" i="4" s="1"/>
  <c r="C101" i="4"/>
  <c r="D99" i="4"/>
  <c r="E99" i="3"/>
  <c r="A102" i="4"/>
  <c r="M102" i="3"/>
  <c r="H103" i="4" s="1"/>
  <c r="A102" i="3"/>
  <c r="Q102" i="3"/>
  <c r="P103" i="4" s="1"/>
  <c r="F100" i="3"/>
  <c r="H102" i="7" l="1"/>
  <c r="E219" i="4" s="1"/>
  <c r="G219" i="4"/>
  <c r="X104" i="7"/>
  <c r="C221" i="4"/>
  <c r="H99" i="3"/>
  <c r="E100" i="4" s="1"/>
  <c r="E103" i="7"/>
  <c r="D220" i="4" s="1"/>
  <c r="G103" i="7"/>
  <c r="R106" i="7"/>
  <c r="M106" i="7"/>
  <c r="D105" i="7"/>
  <c r="F104" i="7"/>
  <c r="F221" i="4" s="1"/>
  <c r="A106" i="7"/>
  <c r="A223" i="4" s="1"/>
  <c r="Q106" i="7"/>
  <c r="P223" i="4" s="1"/>
  <c r="R103" i="3"/>
  <c r="D102" i="3"/>
  <c r="F101" i="4"/>
  <c r="H100" i="3"/>
  <c r="E101" i="4" s="1"/>
  <c r="B102" i="4"/>
  <c r="Q103" i="4" s="1"/>
  <c r="T101" i="3"/>
  <c r="U101" i="3" s="1"/>
  <c r="V101" i="3"/>
  <c r="W101" i="3" s="1"/>
  <c r="X101" i="3" s="1"/>
  <c r="A103" i="3"/>
  <c r="M103" i="3"/>
  <c r="H104" i="4" s="1"/>
  <c r="A103" i="4"/>
  <c r="Q103" i="3"/>
  <c r="P104" i="4" s="1"/>
  <c r="F101" i="3"/>
  <c r="F102" i="4" s="1"/>
  <c r="D100" i="4"/>
  <c r="E100" i="3"/>
  <c r="H103" i="7" l="1"/>
  <c r="E220" i="4" s="1"/>
  <c r="G220" i="4"/>
  <c r="X105" i="7"/>
  <c r="C222" i="4"/>
  <c r="E104" i="7"/>
  <c r="D221" i="4" s="1"/>
  <c r="G104" i="7"/>
  <c r="Q107" i="7"/>
  <c r="P224" i="4" s="1"/>
  <c r="R107" i="7"/>
  <c r="M107" i="7"/>
  <c r="D106" i="7"/>
  <c r="F105" i="7"/>
  <c r="F222" i="4" s="1"/>
  <c r="A107" i="7"/>
  <c r="A224" i="4" s="1"/>
  <c r="G101" i="3"/>
  <c r="R104" i="3"/>
  <c r="D103" i="3"/>
  <c r="C104" i="4" s="1"/>
  <c r="D101" i="4"/>
  <c r="E101" i="3"/>
  <c r="C103" i="4"/>
  <c r="T102" i="3"/>
  <c r="U102" i="3" s="1"/>
  <c r="B103" i="4"/>
  <c r="Q104" i="4" s="1"/>
  <c r="V102" i="3"/>
  <c r="W102" i="3" s="1"/>
  <c r="X102" i="3" s="1"/>
  <c r="A104" i="3"/>
  <c r="Q104" i="3"/>
  <c r="P105" i="4" s="1"/>
  <c r="A104" i="4"/>
  <c r="M104" i="3"/>
  <c r="H105" i="4" s="1"/>
  <c r="F102" i="3"/>
  <c r="F103" i="4" s="1"/>
  <c r="H104" i="7" l="1"/>
  <c r="E221" i="4" s="1"/>
  <c r="G221" i="4"/>
  <c r="X106" i="7"/>
  <c r="C223" i="4"/>
  <c r="E105" i="7"/>
  <c r="D222" i="4" s="1"/>
  <c r="G105" i="7"/>
  <c r="Q108" i="7"/>
  <c r="P225" i="4" s="1"/>
  <c r="M108" i="7"/>
  <c r="D107" i="7"/>
  <c r="F106" i="7"/>
  <c r="F223" i="4" s="1"/>
  <c r="A108" i="7"/>
  <c r="A225" i="4" s="1"/>
  <c r="R108" i="7"/>
  <c r="G102" i="3"/>
  <c r="G103" i="4" s="1"/>
  <c r="R105" i="3"/>
  <c r="D104" i="3"/>
  <c r="T103" i="3"/>
  <c r="U103" i="3" s="1"/>
  <c r="B104" i="4"/>
  <c r="Q105" i="4" s="1"/>
  <c r="V103" i="3"/>
  <c r="W103" i="3" s="1"/>
  <c r="X103" i="3" s="1"/>
  <c r="A105" i="3"/>
  <c r="Q105" i="3"/>
  <c r="P106" i="4" s="1"/>
  <c r="M105" i="3"/>
  <c r="H106" i="4" s="1"/>
  <c r="A105" i="4"/>
  <c r="F103" i="3"/>
  <c r="F104" i="4" s="1"/>
  <c r="H101" i="3"/>
  <c r="E102" i="4" s="1"/>
  <c r="G102" i="4"/>
  <c r="D102" i="4"/>
  <c r="E102" i="3"/>
  <c r="H105" i="7" l="1"/>
  <c r="E222" i="4" s="1"/>
  <c r="G222" i="4"/>
  <c r="X107" i="7"/>
  <c r="C224" i="4"/>
  <c r="G106" i="7"/>
  <c r="E106" i="7"/>
  <c r="D223" i="4" s="1"/>
  <c r="Q109" i="7"/>
  <c r="P226" i="4" s="1"/>
  <c r="F107" i="7"/>
  <c r="F224" i="4" s="1"/>
  <c r="A109" i="7"/>
  <c r="A226" i="4" s="1"/>
  <c r="R109" i="7"/>
  <c r="M109" i="7"/>
  <c r="D108" i="7"/>
  <c r="G103" i="3"/>
  <c r="H102" i="3"/>
  <c r="E103" i="4" s="1"/>
  <c r="R106" i="3"/>
  <c r="D105" i="3"/>
  <c r="C106" i="4" s="1"/>
  <c r="E103" i="3"/>
  <c r="D103" i="4"/>
  <c r="B105" i="4"/>
  <c r="Q106" i="4" s="1"/>
  <c r="V104" i="3"/>
  <c r="W104" i="3" s="1"/>
  <c r="X104" i="3" s="1"/>
  <c r="T104" i="3"/>
  <c r="U104" i="3" s="1"/>
  <c r="C105" i="4"/>
  <c r="A106" i="3"/>
  <c r="Q106" i="3"/>
  <c r="P107" i="4" s="1"/>
  <c r="A106" i="4"/>
  <c r="M106" i="3"/>
  <c r="H107" i="4" s="1"/>
  <c r="F104" i="3"/>
  <c r="F105" i="4" s="1"/>
  <c r="H106" i="7" l="1"/>
  <c r="E223" i="4" s="1"/>
  <c r="G223" i="4"/>
  <c r="X108" i="7"/>
  <c r="C225" i="4"/>
  <c r="G107" i="7"/>
  <c r="E107" i="7"/>
  <c r="D224" i="4" s="1"/>
  <c r="Q110" i="7"/>
  <c r="P227" i="4" s="1"/>
  <c r="R110" i="7"/>
  <c r="F108" i="7"/>
  <c r="F225" i="4" s="1"/>
  <c r="A110" i="7"/>
  <c r="A227" i="4" s="1"/>
  <c r="M110" i="7"/>
  <c r="D109" i="7"/>
  <c r="G104" i="3"/>
  <c r="G105" i="4" s="1"/>
  <c r="R107" i="3"/>
  <c r="D106" i="3"/>
  <c r="G104" i="4"/>
  <c r="H103" i="3"/>
  <c r="E104" i="4" s="1"/>
  <c r="A107" i="4"/>
  <c r="A107" i="3"/>
  <c r="Q107" i="3"/>
  <c r="P108" i="4" s="1"/>
  <c r="M107" i="3"/>
  <c r="H108" i="4" s="1"/>
  <c r="F105" i="3"/>
  <c r="E104" i="3"/>
  <c r="D104" i="4"/>
  <c r="B106" i="4"/>
  <c r="Q107" i="4" s="1"/>
  <c r="T105" i="3"/>
  <c r="U105" i="3" s="1"/>
  <c r="V105" i="3"/>
  <c r="W105" i="3" s="1"/>
  <c r="X105" i="3" s="1"/>
  <c r="H107" i="7" l="1"/>
  <c r="E224" i="4" s="1"/>
  <c r="G224" i="4"/>
  <c r="X109" i="7"/>
  <c r="C226" i="4"/>
  <c r="G108" i="7"/>
  <c r="E108" i="7"/>
  <c r="D225" i="4" s="1"/>
  <c r="Q111" i="7"/>
  <c r="P228" i="4" s="1"/>
  <c r="A111" i="7"/>
  <c r="A228" i="4" s="1"/>
  <c r="R111" i="7"/>
  <c r="M111" i="7"/>
  <c r="D110" i="7"/>
  <c r="F109" i="7"/>
  <c r="F226" i="4" s="1"/>
  <c r="G105" i="3"/>
  <c r="G106" i="4" s="1"/>
  <c r="H104" i="3"/>
  <c r="E105" i="4" s="1"/>
  <c r="R108" i="3"/>
  <c r="D107" i="3"/>
  <c r="C108" i="4" s="1"/>
  <c r="F106" i="4"/>
  <c r="C107" i="4"/>
  <c r="B107" i="4"/>
  <c r="Q108" i="4" s="1"/>
  <c r="V106" i="3"/>
  <c r="W106" i="3" s="1"/>
  <c r="X106" i="3" s="1"/>
  <c r="T106" i="3"/>
  <c r="U106" i="3" s="1"/>
  <c r="E105" i="3"/>
  <c r="D105" i="4"/>
  <c r="A108" i="4"/>
  <c r="M108" i="3"/>
  <c r="H109" i="4" s="1"/>
  <c r="A108" i="3"/>
  <c r="Q108" i="3"/>
  <c r="P109" i="4" s="1"/>
  <c r="F106" i="3"/>
  <c r="F107" i="4" s="1"/>
  <c r="H108" i="7" l="1"/>
  <c r="E225" i="4" s="1"/>
  <c r="G225" i="4"/>
  <c r="X110" i="7"/>
  <c r="C227" i="4"/>
  <c r="E109" i="7"/>
  <c r="D226" i="4" s="1"/>
  <c r="G109" i="7"/>
  <c r="M112" i="7"/>
  <c r="Q112" i="7"/>
  <c r="P229" i="4" s="1"/>
  <c r="F110" i="7"/>
  <c r="F227" i="4" s="1"/>
  <c r="A112" i="7"/>
  <c r="A229" i="4" s="1"/>
  <c r="D111" i="7"/>
  <c r="R112" i="7"/>
  <c r="H105" i="3"/>
  <c r="E106" i="4" s="1"/>
  <c r="G106" i="3"/>
  <c r="G107" i="4" s="1"/>
  <c r="R109" i="3"/>
  <c r="D108" i="3"/>
  <c r="C109" i="4" s="1"/>
  <c r="A109" i="4"/>
  <c r="A109" i="3"/>
  <c r="Q109" i="3"/>
  <c r="P110" i="4" s="1"/>
  <c r="M109" i="3"/>
  <c r="H110" i="4" s="1"/>
  <c r="F107" i="3"/>
  <c r="F108" i="4" s="1"/>
  <c r="E106" i="3"/>
  <c r="D106" i="4"/>
  <c r="T107" i="3"/>
  <c r="U107" i="3" s="1"/>
  <c r="V107" i="3"/>
  <c r="W107" i="3" s="1"/>
  <c r="X107" i="3" s="1"/>
  <c r="B108" i="4"/>
  <c r="Q109" i="4" s="1"/>
  <c r="H109" i="7" l="1"/>
  <c r="E226" i="4" s="1"/>
  <c r="G226" i="4"/>
  <c r="X111" i="7"/>
  <c r="C228" i="4"/>
  <c r="G110" i="7"/>
  <c r="E110" i="7"/>
  <c r="D227" i="4" s="1"/>
  <c r="D112" i="7"/>
  <c r="M113" i="7"/>
  <c r="A113" i="7"/>
  <c r="F111" i="7"/>
  <c r="F228" i="4" s="1"/>
  <c r="G107" i="3"/>
  <c r="G108" i="4" s="1"/>
  <c r="H106" i="3"/>
  <c r="E107" i="4" s="1"/>
  <c r="R110" i="3"/>
  <c r="D109" i="3"/>
  <c r="C110" i="4" s="1"/>
  <c r="E107" i="3"/>
  <c r="D107" i="4"/>
  <c r="A110" i="4"/>
  <c r="A110" i="3"/>
  <c r="M110" i="3"/>
  <c r="H111" i="4" s="1"/>
  <c r="Q110" i="3"/>
  <c r="P111" i="4" s="1"/>
  <c r="F108" i="3"/>
  <c r="F109" i="4" s="1"/>
  <c r="B109" i="4"/>
  <c r="Q110" i="4" s="1"/>
  <c r="T108" i="3"/>
  <c r="U108" i="3" s="1"/>
  <c r="V108" i="3"/>
  <c r="W108" i="3" s="1"/>
  <c r="X108" i="3" s="1"/>
  <c r="H110" i="7" l="1"/>
  <c r="E227" i="4" s="1"/>
  <c r="G227" i="4"/>
  <c r="X112" i="7"/>
  <c r="C229" i="4"/>
  <c r="G111" i="7"/>
  <c r="E111" i="7"/>
  <c r="D228" i="4" s="1"/>
  <c r="F112" i="7"/>
  <c r="F229" i="4" s="1"/>
  <c r="G108" i="3"/>
  <c r="G109" i="4" s="1"/>
  <c r="H107" i="3"/>
  <c r="E108" i="4" s="1"/>
  <c r="R111" i="3"/>
  <c r="D110" i="3"/>
  <c r="C111" i="4" s="1"/>
  <c r="B110" i="4"/>
  <c r="Q111" i="4" s="1"/>
  <c r="T109" i="3"/>
  <c r="U109" i="3" s="1"/>
  <c r="V109" i="3"/>
  <c r="W109" i="3" s="1"/>
  <c r="X109" i="3" s="1"/>
  <c r="A111" i="3"/>
  <c r="M111" i="3"/>
  <c r="H112" i="4" s="1"/>
  <c r="A111" i="4"/>
  <c r="Q111" i="3"/>
  <c r="P112" i="4" s="1"/>
  <c r="F109" i="3"/>
  <c r="F110" i="4" s="1"/>
  <c r="E108" i="3"/>
  <c r="D108" i="4"/>
  <c r="H111" i="7" l="1"/>
  <c r="E228" i="4" s="1"/>
  <c r="G228" i="4"/>
  <c r="F113" i="7"/>
  <c r="F230" i="4" s="1"/>
  <c r="G112" i="7"/>
  <c r="E112" i="7"/>
  <c r="D229" i="4" s="1"/>
  <c r="G109" i="3"/>
  <c r="G110" i="4" s="1"/>
  <c r="H108" i="3"/>
  <c r="E109" i="4" s="1"/>
  <c r="R112" i="3"/>
  <c r="D111" i="3"/>
  <c r="C112" i="4" s="1"/>
  <c r="D109" i="4"/>
  <c r="E109" i="3"/>
  <c r="A112" i="4"/>
  <c r="A112" i="3"/>
  <c r="D112" i="3" s="1"/>
  <c r="Q112" i="3"/>
  <c r="P113" i="4" s="1"/>
  <c r="M112" i="3"/>
  <c r="H113" i="4" s="1"/>
  <c r="F110" i="3"/>
  <c r="T110" i="3"/>
  <c r="U110" i="3" s="1"/>
  <c r="B111" i="4"/>
  <c r="Q112" i="4" s="1"/>
  <c r="V110" i="3"/>
  <c r="W110" i="3" s="1"/>
  <c r="X110" i="3" s="1"/>
  <c r="G113" i="7" l="1"/>
  <c r="G230" i="4" s="1"/>
  <c r="G229" i="4"/>
  <c r="H112" i="7"/>
  <c r="G110" i="3"/>
  <c r="G111" i="4" s="1"/>
  <c r="H109" i="3"/>
  <c r="E110" i="4" s="1"/>
  <c r="B112" i="4"/>
  <c r="Q113" i="4" s="1"/>
  <c r="T111" i="3"/>
  <c r="U111" i="3" s="1"/>
  <c r="V111" i="3"/>
  <c r="W111" i="3" s="1"/>
  <c r="X111" i="3" s="1"/>
  <c r="A113" i="3"/>
  <c r="M113" i="3"/>
  <c r="H114" i="4" s="1"/>
  <c r="C113" i="4"/>
  <c r="A113" i="4"/>
  <c r="F111" i="3"/>
  <c r="F112" i="4" s="1"/>
  <c r="D110" i="4"/>
  <c r="E110" i="3"/>
  <c r="F111" i="4"/>
  <c r="R113" i="7" l="1"/>
  <c r="H113" i="7"/>
  <c r="E230" i="4" s="1"/>
  <c r="E229" i="4"/>
  <c r="Q113" i="7"/>
  <c r="G111" i="3"/>
  <c r="G112" i="4" s="1"/>
  <c r="H110" i="3"/>
  <c r="E111" i="4" s="1"/>
  <c r="E111" i="3"/>
  <c r="D111" i="4"/>
  <c r="V112" i="3"/>
  <c r="W112" i="3" s="1"/>
  <c r="X112" i="3" s="1"/>
  <c r="B113" i="4"/>
  <c r="T112" i="3"/>
  <c r="U112" i="3" s="1"/>
  <c r="G112" i="3" s="1"/>
  <c r="F112" i="3"/>
  <c r="F113" i="4" s="1"/>
  <c r="P230" i="4" l="1"/>
  <c r="B44" i="8"/>
  <c r="G113" i="3"/>
  <c r="F113" i="3"/>
  <c r="F114" i="4" s="1"/>
  <c r="H112" i="3"/>
  <c r="E113" i="4" s="1"/>
  <c r="G113" i="4"/>
  <c r="H111" i="3"/>
  <c r="E112" i="4" s="1"/>
  <c r="E112" i="3"/>
  <c r="D113" i="4" s="1"/>
  <c r="D112" i="4"/>
  <c r="R113" i="3" l="1"/>
  <c r="H113" i="3"/>
  <c r="E114" i="4" s="1"/>
  <c r="G114" i="4"/>
  <c r="Q113" i="3"/>
  <c r="B46" i="1" l="1"/>
  <c r="Q114" i="4"/>
  <c r="P114" i="4"/>
  <c r="B42" i="8" l="1"/>
  <c r="B45" i="1"/>
  <c r="B44" i="1" s="1"/>
</calcChain>
</file>

<file path=xl/comments1.xml><?xml version="1.0" encoding="utf-8"?>
<comments xmlns="http://schemas.openxmlformats.org/spreadsheetml/2006/main">
  <authors>
    <author>Safonov Sergii Viktorovych</author>
  </authors>
  <commentList>
    <comment ref="P7" authorId="0" shapeId="0">
      <text>
        <r>
          <rPr>
            <sz val="8"/>
            <color indexed="81"/>
            <rFont val="Tahoma"/>
            <family val="2"/>
            <charset val="204"/>
          </rPr>
          <t>Згідно продукту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згідно флаєру з умовами кредитування
</t>
        </r>
      </text>
    </comment>
    <comment ref="P9" authorId="0" shapeId="0">
      <text>
        <r>
          <rPr>
            <b/>
            <sz val="8"/>
            <color indexed="81"/>
            <rFont val="Tahoma"/>
            <family val="2"/>
            <charset val="204"/>
          </rPr>
          <t>згідно тарифіф Банку</t>
        </r>
      </text>
    </comment>
    <comment ref="P10" authorId="0" shapeId="0">
      <text>
        <r>
          <rPr>
            <b/>
            <sz val="8"/>
            <color indexed="81"/>
            <rFont val="Tahoma"/>
            <family val="2"/>
            <charset val="204"/>
          </rPr>
          <t>згідно тарифіф Банку</t>
        </r>
      </text>
    </comment>
    <comment ref="P12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у разі наявності, в іншому випадку 0,00</t>
        </r>
      </text>
    </comment>
    <comment ref="P13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у разі наявності, в іншому випадку 0,00</t>
        </r>
      </text>
    </comment>
    <comment ref="P14" authorId="0" shapeId="0">
      <text>
        <r>
          <rPr>
            <b/>
            <sz val="8"/>
            <color indexed="81"/>
            <rFont val="Tahoma"/>
            <family val="2"/>
            <charset val="204"/>
          </rPr>
          <t>згідно обраного продукту</t>
        </r>
      </text>
    </comment>
    <comment ref="P15" authorId="0" shapeId="0">
      <text>
        <r>
          <rPr>
            <b/>
            <sz val="8"/>
            <color indexed="81"/>
            <rFont val="Tahoma"/>
            <family val="2"/>
            <charset val="204"/>
          </rPr>
          <t>згідно обраного продукту</t>
        </r>
      </text>
    </comment>
    <comment ref="P16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у разі наявності, в іншому випадку 0,00</t>
        </r>
      </text>
    </comment>
    <comment ref="P17" authorId="0" shapeId="0">
      <text>
        <r>
          <rPr>
            <b/>
            <sz val="8"/>
            <color indexed="81"/>
            <rFont val="Tahoma"/>
            <family val="2"/>
            <charset val="204"/>
          </rPr>
          <t>У разі наявності пакету "Фамільний" або якщо він не оформлюється ставиться -0, в нішому випадку  зазначається вартість пакету на один рік</t>
        </r>
      </text>
    </comment>
  </commentList>
</comments>
</file>

<file path=xl/comments2.xml><?xml version="1.0" encoding="utf-8"?>
<comments xmlns="http://schemas.openxmlformats.org/spreadsheetml/2006/main">
  <authors>
    <author>Safonov Sergii Viktorovych</author>
  </authors>
  <commentList>
    <comment ref="P7" authorId="0" shapeId="0">
      <text>
        <r>
          <rPr>
            <sz val="8"/>
            <color indexed="81"/>
            <rFont val="Tahoma"/>
            <family val="2"/>
            <charset val="204"/>
          </rPr>
          <t>Згідно продукту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згідно флаєру з умовами кредитування
</t>
        </r>
      </text>
    </comment>
    <comment ref="P9" authorId="0" shapeId="0">
      <text>
        <r>
          <rPr>
            <b/>
            <sz val="8"/>
            <color indexed="81"/>
            <rFont val="Tahoma"/>
            <family val="2"/>
            <charset val="204"/>
          </rPr>
          <t>згідно тарифіф Банку</t>
        </r>
      </text>
    </comment>
    <comment ref="P10" authorId="0" shapeId="0">
      <text>
        <r>
          <rPr>
            <b/>
            <sz val="8"/>
            <color indexed="81"/>
            <rFont val="Tahoma"/>
            <family val="2"/>
            <charset val="204"/>
          </rPr>
          <t>згідно тарифіф Банку</t>
        </r>
      </text>
    </comment>
    <comment ref="P12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у разі наявності, в іншому випадку 0,00</t>
        </r>
      </text>
    </comment>
    <comment ref="P13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у разі наявності, в іншому випадку 0,00</t>
        </r>
      </text>
    </comment>
    <comment ref="P14" authorId="0" shapeId="0">
      <text>
        <r>
          <rPr>
            <b/>
            <sz val="8"/>
            <color indexed="81"/>
            <rFont val="Tahoma"/>
            <family val="2"/>
            <charset val="204"/>
          </rPr>
          <t>згідно обраного продукту</t>
        </r>
      </text>
    </comment>
    <comment ref="P15" authorId="0" shapeId="0">
      <text>
        <r>
          <rPr>
            <b/>
            <sz val="8"/>
            <color indexed="81"/>
            <rFont val="Tahoma"/>
            <family val="2"/>
            <charset val="204"/>
          </rPr>
          <t>згідно обраного продукту</t>
        </r>
      </text>
    </comment>
    <comment ref="P16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у разі наявності, в іншому випадку 0,00</t>
        </r>
      </text>
    </comment>
    <comment ref="P17" authorId="0" shapeId="0">
      <text>
        <r>
          <rPr>
            <b/>
            <sz val="8"/>
            <color indexed="81"/>
            <rFont val="Tahoma"/>
            <family val="2"/>
            <charset val="204"/>
          </rPr>
          <t>У разі наявності пакету "Фамільний" або якщо він не оформлюється ставиться -0, в нішому випадку  зазначається вартість пакету на один рік</t>
        </r>
      </text>
    </comment>
  </commentList>
</comments>
</file>

<file path=xl/sharedStrings.xml><?xml version="1.0" encoding="utf-8"?>
<sst xmlns="http://schemas.openxmlformats.org/spreadsheetml/2006/main" count="813" uniqueCount="541">
  <si>
    <r>
      <t>1.</t>
    </r>
    <r>
      <rPr>
        <sz val="7"/>
        <color theme="1"/>
        <rFont val="Times New Roman"/>
        <family val="1"/>
        <charset val="204"/>
      </rPr>
      <t xml:space="preserve">        </t>
    </r>
    <r>
      <rPr>
        <b/>
        <sz val="9"/>
        <color theme="1"/>
        <rFont val="Times New Roman"/>
        <family val="1"/>
        <charset val="204"/>
      </rPr>
      <t>Інформація та контактні дані кредитодавця</t>
    </r>
  </si>
  <si>
    <t>Найменування кредитодавця та його структурного або відокремленого підрозділу, в якому поширюється інформація</t>
  </si>
  <si>
    <t>Місцезнаходження кредитодавця та адреса структурного або відокремленого підрозділу, в якому поширюється інформація</t>
  </si>
  <si>
    <r>
      <t xml:space="preserve">Адреса Банку: </t>
    </r>
    <r>
      <rPr>
        <sz val="9"/>
        <color theme="1"/>
        <rFont val="Times New Roman"/>
        <family val="1"/>
        <charset val="204"/>
      </rPr>
      <t>Україна, м. Київ, Кловський узвіз, 9\2</t>
    </r>
  </si>
  <si>
    <t>Адреса відділення Банку:</t>
  </si>
  <si>
    <t>Ліцензія/Свідоцтво</t>
  </si>
  <si>
    <t>Ліцензія Національного банку України</t>
  </si>
  <si>
    <t>Номер контактного телефону</t>
  </si>
  <si>
    <t>0 800 500 450 </t>
  </si>
  <si>
    <t>Адреса електронної пошти</t>
  </si>
  <si>
    <t>bank@pravex.kiev.ua  </t>
  </si>
  <si>
    <t>Адреса офіційного веб-сайту</t>
  </si>
  <si>
    <r>
      <t>www.pravex.com.ua</t>
    </r>
    <r>
      <rPr>
        <sz val="9"/>
        <color theme="1"/>
        <rFont val="Times New Roman"/>
        <family val="1"/>
        <charset val="204"/>
      </rPr>
      <t> </t>
    </r>
  </si>
  <si>
    <r>
      <t>2.</t>
    </r>
    <r>
      <rPr>
        <b/>
        <sz val="7"/>
        <color theme="1"/>
        <rFont val="Times New Roman"/>
        <family val="1"/>
        <charset val="204"/>
      </rPr>
      <t xml:space="preserve">        </t>
    </r>
    <r>
      <rPr>
        <b/>
        <sz val="9"/>
        <color theme="1"/>
        <rFont val="Times New Roman"/>
        <family val="1"/>
        <charset val="204"/>
      </rPr>
      <t>Інформація та контактні дані кредитного посередника – не залучається</t>
    </r>
  </si>
  <si>
    <t>3. Основні умови кредитування з урахуванням побажань споживача</t>
  </si>
  <si>
    <t>Тип кредиту</t>
  </si>
  <si>
    <t>Сума кредиту, грн.</t>
  </si>
  <si>
    <t>Мета отримання кредиту</t>
  </si>
  <si>
    <t>Спосіб та строк надання кредиту</t>
  </si>
  <si>
    <t>Можливі види (форми) забезпечення кредиту</t>
  </si>
  <si>
    <t>Необхідність проведення оцінки забезпечення кредиту</t>
  </si>
  <si>
    <t>ні</t>
  </si>
  <si>
    <t>Мінімальний розмір власного платежу (фінансової участі) споживача за умови отримання кредиту на придбання товару/роботи/послуги, %</t>
  </si>
  <si>
    <t>Процентна ставка, відсотків річних</t>
  </si>
  <si>
    <t>Тип процентної ставки</t>
  </si>
  <si>
    <t>Порядок зміни змінюваної процентної ставки</t>
  </si>
  <si>
    <t>Платежі за додаткові та супутні послуги кредитодавця, обов'язкові для укладання договору, грн.:</t>
  </si>
  <si>
    <t>Зазначаються розмір платежу та база його розрахунку</t>
  </si>
  <si>
    <t>Щомісячна комісія за обслуговування кредиту</t>
  </si>
  <si>
    <t>Розрахунково-касове обслуговування кредиту (річне/ щомісячне)</t>
  </si>
  <si>
    <t>Загальні витрати за кредитом, грн.</t>
  </si>
  <si>
    <t>Орієнтовна загальна вартість кредиту для споживача за весь строк користування кредитом (у т. ч. тіло кредиту, відсотки, комісії та інші платежі), грн.</t>
  </si>
  <si>
    <t>Реальна річна процентна ставка, відсотків річних</t>
  </si>
  <si>
    <t xml:space="preserve">Застереження: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кредитування, викладених вище, і на припущенні, що договір про споживчий кредит залишатиметься дійсним протягом погодженого строку, а кредитодавець і споживач виконають свої обов'язки на умовах та у строки, визначені в договорі. </t>
  </si>
  <si>
    <t>Реальна річна процентна ставка обчислена на основі припущення,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кредит.</t>
  </si>
  <si>
    <t>Застереження: використання інших способів надання кредиту та/або зміна інших вищезазначених умов кредитування можуть мати наслідком застосування іншої реальної річної процентної ставки та орієнтовної загальної вартості кредиту для споживача.</t>
  </si>
  <si>
    <t>5. Порядок повернення кредиту</t>
  </si>
  <si>
    <t>Кількість та розмір платежів, періодичність внесення</t>
  </si>
  <si>
    <t>6. Додаткова інформація</t>
  </si>
  <si>
    <t>Додаткові та супутні послуги третіх осіб, обов'язкові для отримання кредиту:</t>
  </si>
  <si>
    <r>
      <t>Наслідки прострочення виконання та/або невиконання зобов'язань за договором про споживчий кредит:</t>
    </r>
    <r>
      <rPr>
        <sz val="8"/>
        <color theme="1"/>
        <rFont val="Calibri"/>
        <family val="2"/>
        <charset val="204"/>
        <scheme val="minor"/>
      </rPr>
      <t> </t>
    </r>
  </si>
  <si>
    <t>пеня</t>
  </si>
  <si>
    <t>Подвійна облікова ставка НБУ</t>
  </si>
  <si>
    <t>інші платежі</t>
  </si>
  <si>
    <t>7. Інші важливі правові аспекти</t>
  </si>
  <si>
    <t xml:space="preserve">Споживач має право безкоштовно отримати копію проекту договору про споживчий кредит у письмовій чи електронній формі за своїм вибором. Це положення не застосовується у разі відмови кредитодавця від продовження процесу укладання договору зі споживачем. </t>
  </si>
  <si>
    <t>Споживач має право відмовитися від договору про споживчий кредит протягом 14 календарних днів у порядку та на умовах, визначених Законом України "Про споживче кредитування".</t>
  </si>
  <si>
    <t>Споживач має право достроково повернути споживчий кредит без будь-якої додаткової плати, пов'язаної з достроковим поверненням. Договором про споживчий кредит може бути встановлений обов'язок повідомлення кредитодавця про намір дострокового повернення споживчого кредиту з оформленням відповідного документа.</t>
  </si>
  <si>
    <t>Умови договору про споживчий кредит можуть відрізнятися від інформації, наведеної в цьому Паспорті споживчого кредиту, та будуть залежати від проведеної кредитодавцем оцінки кредитоспроможності споживача з урахуванням, зокрема, наданої ним інформації про майновий та сімейний стан, розмір доходів тощо.</t>
  </si>
  <si>
    <t>Підпис кредитодавця:</t>
  </si>
  <si>
    <t>_______________________П. І. Б., _________підпис</t>
  </si>
  <si>
    <t>Підтверджую отримання та ознайомлення з інформацією про умови кредитування та орієнтовну загальну вартість кредиту, надані виходячи із обраних мною умов кредитування.</t>
  </si>
  <si>
    <t xml:space="preserve">Підтверджую отримання мною всіх пояснень, необхідних для забезпечення можливості оцінити, чи адаптовано договір до моїх потреб та фінансової ситуації, зокрема шляхом роз'яснення наведеної інформації, в тому числі суттєвих характеристик запропонованих послуг та певних наслідків, які вони можуть мати для мене, в тому числі в разі невиконання мною зобов'язань за таким договором. </t>
  </si>
  <si>
    <t>Підпис споживача:</t>
  </si>
  <si>
    <t xml:space="preserve">__ __ ____Дата, _____________П. І. Б., __________підпис. </t>
  </si>
  <si>
    <t>Дата</t>
  </si>
  <si>
    <t>Відсоткова ставка</t>
  </si>
  <si>
    <t>Строк кредиту, міс</t>
  </si>
  <si>
    <t>Сумма кредиту, грн</t>
  </si>
  <si>
    <t>Перший внесок, грн</t>
  </si>
  <si>
    <t>Вартість автомобіля, грн</t>
  </si>
  <si>
    <t>Перший внесок,%</t>
  </si>
  <si>
    <t>№</t>
  </si>
  <si>
    <t>Дата платежу</t>
  </si>
  <si>
    <t>Кіль-кість днів у звітньо-му періоді</t>
  </si>
  <si>
    <t>Залишок основного боргу для нарахування відсотків</t>
  </si>
  <si>
    <t>Реальна відсоткова ставка, %</t>
  </si>
  <si>
    <t>Погашення основної суми кредиту</t>
  </si>
  <si>
    <t>Орієнтовна сума відсотків</t>
  </si>
  <si>
    <t>Орієнтовна сума платежу за розрахунковий період</t>
  </si>
  <si>
    <t>Одноразова комісія за надання кредиту</t>
  </si>
  <si>
    <t>Одноразова комісія за надання кредиту, грн</t>
  </si>
  <si>
    <t>споживчий кредит</t>
  </si>
  <si>
    <t>Маржа</t>
  </si>
  <si>
    <t>Дата початку плаваючої ставки</t>
  </si>
  <si>
    <t>процентна ставка, яка застосовується при невиконанні зобов'язання щодо повернення кредиту (за кожне порушеня)</t>
  </si>
  <si>
    <t xml:space="preserve"> +3% річних до діючої річної ставки по кредиту</t>
  </si>
  <si>
    <t>ПМ</t>
  </si>
  <si>
    <t>Додаток 1 до договору кредиту №_____ від____________</t>
  </si>
  <si>
    <t>Вартість транспортного засобу в UAH</t>
  </si>
  <si>
    <t>Сума передплати</t>
  </si>
  <si>
    <t>Одноразова комісія за надання кредиту від початкової суми кредиту:</t>
  </si>
  <si>
    <t>Сума кредиту</t>
  </si>
  <si>
    <t>Відсоток передплати</t>
  </si>
  <si>
    <t>Дата отримання кредиту</t>
  </si>
  <si>
    <t>Дата погашення кредиту</t>
  </si>
  <si>
    <t>Строк кредитування, місяців</t>
  </si>
  <si>
    <t xml:space="preserve">Погашенння основної суми кредиту: </t>
  </si>
  <si>
    <t>згідно графіку</t>
  </si>
  <si>
    <t>Погашення відсотків по кредиту:</t>
  </si>
  <si>
    <t>щомісячно</t>
  </si>
  <si>
    <t>Відсоткова ставка *:</t>
  </si>
  <si>
    <t>Діє з*</t>
  </si>
  <si>
    <t>% ставка*</t>
  </si>
  <si>
    <t>Маржа*</t>
  </si>
  <si>
    <t>Індекс*</t>
  </si>
  <si>
    <r>
      <t>Орієнтовна</t>
    </r>
    <r>
      <rPr>
        <b/>
        <sz val="9"/>
        <color indexed="8"/>
        <rFont val="Arial"/>
        <family val="2"/>
        <charset val="204"/>
      </rPr>
      <t xml:space="preserve"> сума платежу за розрахунковий період</t>
    </r>
  </si>
  <si>
    <t>В тому числі:</t>
  </si>
  <si>
    <t>Загальна вартість кредиту, грн</t>
  </si>
  <si>
    <t xml:space="preserve">Одноразова комісія за надання кредиту </t>
  </si>
  <si>
    <t>Всього</t>
  </si>
  <si>
    <t>* даний розділ використовується в разі змінної ставки по кредиту</t>
  </si>
  <si>
    <t>кредит</t>
  </si>
  <si>
    <t>за власні кошти</t>
  </si>
  <si>
    <t>Таблиця обчислення орієнтовної вартості споживчого кредиту</t>
  </si>
  <si>
    <t>Комісія за надання кредиту, % від суми кредиту</t>
  </si>
  <si>
    <t>АТ «ПРАВЕКС БАНК»</t>
  </si>
  <si>
    <t>від 18.04.2018 № 7</t>
  </si>
  <si>
    <t>Ставка з 61 місяця</t>
  </si>
  <si>
    <t>на споживчі цілі</t>
  </si>
  <si>
    <t xml:space="preserve">Безготівковим шляхом на поточний рахунок </t>
  </si>
  <si>
    <t>відсутній</t>
  </si>
  <si>
    <t>Інші додаткові витрати</t>
  </si>
  <si>
    <t>Страхування позичальника, грн</t>
  </si>
  <si>
    <t>Діючий Індекс UIDR (12міс у гривні)</t>
  </si>
  <si>
    <t>відсутнє</t>
  </si>
  <si>
    <t>наявне</t>
  </si>
  <si>
    <t>Таблиця обчислення загальної вартості споживчого кредиту для позичальника (споживача) 
та реальної річної процентної ставки за кредитом, в тому числі Графік платежів за кредитом</t>
  </si>
  <si>
    <r>
      <t xml:space="preserve">Комісії банка, </t>
    </r>
    <r>
      <rPr>
        <sz val="11"/>
        <color theme="1"/>
        <rFont val="Calibri"/>
        <family val="2"/>
        <charset val="204"/>
        <scheme val="minor"/>
      </rPr>
      <t>% від суми кредиту</t>
    </r>
  </si>
  <si>
    <t>Загальна вартість кредиту, грн.</t>
  </si>
  <si>
    <t>Реальна річна процентна ставка, %</t>
  </si>
  <si>
    <t>так</t>
  </si>
  <si>
    <t>Фіксована</t>
  </si>
  <si>
    <t>Розрахунково-касове обслуговування, грн</t>
  </si>
  <si>
    <t>порука (якщо було прийнято по клієнту відповідне рішення)</t>
  </si>
  <si>
    <t>процентна ставка, яка застосовується при невиконанні зобов'язання щодо повернення кредиту</t>
  </si>
  <si>
    <t xml:space="preserve">Таблиця обчислення загальної вартості споживчого кредиту для позичальника (споживача) та реальної річної процентної ставки за кредитом, в тому числі Графік платежів за кредитом у разі настання відкладальної обставини, передбаченої у п.1.7 Загальної частини договору </t>
  </si>
  <si>
    <t>Комісія банка за зняття коштів</t>
  </si>
  <si>
    <t>Платежі за додаткові та супутні послуги третіх осіб, обов'язкові для укладення договору/отримання кредиту, грн:</t>
  </si>
  <si>
    <t>1. Псолуги нотаріуса</t>
  </si>
  <si>
    <t>2. Посулуги оцінювача</t>
  </si>
  <si>
    <t>3. Послуга страховика</t>
  </si>
  <si>
    <t>4. Інші послуги третіх осіб</t>
  </si>
  <si>
    <t>Послуги третіх осіб</t>
  </si>
  <si>
    <t>Послуги нотаріуса</t>
  </si>
  <si>
    <t>Послуги оцінювача</t>
  </si>
  <si>
    <t>Послуги страховика</t>
  </si>
  <si>
    <t>Інші послуги третіх осіб</t>
  </si>
  <si>
    <t>Інші послуги банку</t>
  </si>
  <si>
    <t>Комісія банка за зняття коштів, % від суми кредиту</t>
  </si>
  <si>
    <t>Комісія банка за зняття коштів, грн</t>
  </si>
  <si>
    <t>послуги нотаріуса, грн</t>
  </si>
  <si>
    <t>послуги оцінювача,грн</t>
  </si>
  <si>
    <t>послуги страховика,%/грн</t>
  </si>
  <si>
    <t>страхування життя</t>
  </si>
  <si>
    <t>страхування від НВ</t>
  </si>
  <si>
    <t>інші послуги третіх осіб, грн</t>
  </si>
  <si>
    <t>Інші послуги банку, грн</t>
  </si>
  <si>
    <t>Послуги третіх осіб:</t>
  </si>
  <si>
    <t>Тарифи Банку та третіх осіб:</t>
  </si>
  <si>
    <t>Строк кредитування</t>
  </si>
  <si>
    <t>Надається у вигляді графіку платежів, у якому визначаються кількість, розмір платежів та періодичність їх внесення згідно Додатку 1 до договору споживчого кредиту "Таблиця обчислення загальної вартості споживчого кредиту  для позичальника (споживача) та реальної річної процентної ставки за кредитом, в тому числі Графік платежів за кредитом"</t>
  </si>
  <si>
    <t>4. Інформація щодо орієнтовної реальної річної процентної ставки та орієнтовної загальної вартості кредиту для споживача</t>
  </si>
  <si>
    <t>Найменування кредитного посередника</t>
  </si>
  <si>
    <t>*Інформація не заповнюється, у звязку з відсутністю кредитного посередника при наданні Банком кредиту</t>
  </si>
  <si>
    <t>Місцезнаходження</t>
  </si>
  <si>
    <t>Адреса офіційного веб-сайту*</t>
  </si>
  <si>
    <t xml:space="preserve"> міс.</t>
  </si>
  <si>
    <t>не заповнються у звязку з фіксованим типом ставки</t>
  </si>
  <si>
    <t>Застереження: витрати на такі послуги можуть змінюватися протягом строку дії договору про споживчий кредит</t>
  </si>
  <si>
    <t>[якщо платежі за послуги кредитодавця, повязані з отриманням, обслуговуванням і поверненням кредиту, є періодичними]</t>
  </si>
  <si>
    <t>Платежі за послуги кредитного посередника, що підлягають сплаті споживачем, грн.*</t>
  </si>
  <si>
    <t>* не заповнюється, у звязку з відсутністю кредитного посередника при наданні Банком кредиту</t>
  </si>
  <si>
    <t>[зазначаються розмір платежу, база його розрахунку та умови його застосування]</t>
  </si>
  <si>
    <t>штрафи</t>
  </si>
  <si>
    <t xml:space="preserve">м. Київ </t>
  </si>
  <si>
    <t xml:space="preserve">Ватутінське відділення </t>
  </si>
  <si>
    <t>081   15326804226768260081</t>
  </si>
  <si>
    <t>Івашин 
Дмитро Миколайович</t>
  </si>
  <si>
    <t>050-981-06-79, 
097-983-11-31</t>
  </si>
  <si>
    <t>02217, м. Київ, 
просп.Маяковського, 8</t>
  </si>
  <si>
    <t>8 Mayakovskiy Boulevard, Kyiv, 02217</t>
  </si>
  <si>
    <t>4223 - директор, 
4225, 4226, 4227, 4228, 4229, 4231</t>
  </si>
  <si>
    <t xml:space="preserve">(044)363-03-67
(044)363-03-68
</t>
  </si>
  <si>
    <t>Пн. – Пт.: 8:45 – 17:45,  в тому числі з клієнтами Пн. – Пт.: 9:00 – 17:00,  без перерви для клієнтів, перерва для співробітників по гнучкому графіку 1 година; Сб., Нед., святкові дні – вихідні</t>
  </si>
  <si>
    <t xml:space="preserve">Виноградарське відділення </t>
  </si>
  <si>
    <t>048   15326804226768260048</t>
  </si>
  <si>
    <t>Педченко 
Віра Володимирівна</t>
  </si>
  <si>
    <t>050-809-46-47</t>
  </si>
  <si>
    <t>04215, м. Київ, 
просп. Свободи, 15/1</t>
  </si>
  <si>
    <t>15/1 Svobody Boulevard, Kyiv, 04215</t>
  </si>
  <si>
    <t>4233 - директор,
4235,4236,4237</t>
  </si>
  <si>
    <t xml:space="preserve">(044)363-02-28
(044)363-02-29
</t>
  </si>
  <si>
    <t>Відділення 
„Героїв Дніпра”</t>
  </si>
  <si>
    <t>050   15326804226768260050</t>
  </si>
  <si>
    <t>Кузьменко 
Юрій Миколайович</t>
  </si>
  <si>
    <t>097-386-76-31</t>
  </si>
  <si>
    <t>04205, м. Київ, 
вул. Маршала Тимошенка, 21, корп.4</t>
  </si>
  <si>
    <t>21 Marshal Tymoshenko St., Block 4, Kyiv, 04205</t>
  </si>
  <si>
    <t>4272 - директор,
4268, 4269, 4270, 4271, , 4273, 4274</t>
  </si>
  <si>
    <t xml:space="preserve">(044)363-07-58
(044)363-07-59
</t>
  </si>
  <si>
    <t>Деміївське відділення</t>
  </si>
  <si>
    <t>068   15326804226768260068</t>
  </si>
  <si>
    <t>т.в.о.  Резанова 
Наталія Миколаївна</t>
  </si>
  <si>
    <t>099-558-86-80</t>
  </si>
  <si>
    <t>03039, м. Київ, 
Голосіївський просп., 48</t>
  </si>
  <si>
    <t>48 Holosiivskyi Boulevard, Kyiv, 03039</t>
  </si>
  <si>
    <t>4300 - директор,
4297, 4299,4302,4303, 4304</t>
  </si>
  <si>
    <t xml:space="preserve">(044)363-06-91
(044)363-06-92
</t>
  </si>
  <si>
    <t xml:space="preserve">Залізничне відділення </t>
  </si>
  <si>
    <t>047   15326804226768260047</t>
  </si>
  <si>
    <t>Майкін 
Сергій Миколайович</t>
  </si>
  <si>
    <t>066-117-23-40</t>
  </si>
  <si>
    <t>03186, м. Київ, 
бульв. Чоколівський, 9/13</t>
  </si>
  <si>
    <t>9/13 Chokolivskyi Boulevard, Kyiv, 03186</t>
  </si>
  <si>
    <t>4332- директор,
4330,4331,4333,4334,4335</t>
  </si>
  <si>
    <t xml:space="preserve">(044)363-07-08
(044)363-07-09
</t>
  </si>
  <si>
    <t xml:space="preserve">Індустріальне відділення </t>
  </si>
  <si>
    <t>057   15326804226768260057</t>
  </si>
  <si>
    <t>Близнюк 
Олена Володимирівна</t>
  </si>
  <si>
    <t>050-590-21-78</t>
  </si>
  <si>
    <t xml:space="preserve">01032, м. Київ, 
вул. Саксаганського, 120 </t>
  </si>
  <si>
    <t>120 Saksahanskoho St., Kyiv, 01032</t>
  </si>
  <si>
    <t>4344 - директор,
4345,4346,4347,4348,4349</t>
  </si>
  <si>
    <t xml:space="preserve">
(044)363-02-56
(044)363-02-57
</t>
  </si>
  <si>
    <t xml:space="preserve">Інститутське відділення </t>
  </si>
  <si>
    <t>102  
15326804226768260066</t>
  </si>
  <si>
    <t>Літенко 
Ірина Олексіївна</t>
  </si>
  <si>
    <t xml:space="preserve">  067-773-01-98,
093-993-64-68</t>
  </si>
  <si>
    <t>01021, м. Київ, 
вул. Інститутська, 27/6</t>
  </si>
  <si>
    <t>27/6 Instytutska St., Kyiv, 01021</t>
  </si>
  <si>
    <t>4353 - директор,
 4354,  4355, 4356,   4357</t>
  </si>
  <si>
    <t xml:space="preserve">
(044)363-02-36
(044)363-02-37
</t>
  </si>
  <si>
    <t xml:space="preserve">Лівобережне відділення  </t>
  </si>
  <si>
    <t>052   15326804226768260052</t>
  </si>
  <si>
    <t>Нечупій 
Ольга Віталіївна</t>
  </si>
  <si>
    <t>096-701-38-42</t>
  </si>
  <si>
    <t xml:space="preserve">02100, м. Київ, 
вул. Попудренка, 18 </t>
  </si>
  <si>
    <t>18 Popudrenko St., Kyiv, 02100</t>
  </si>
  <si>
    <t>4531- директор,
4526, 4527,4528,4529,4530,, 4532</t>
  </si>
  <si>
    <t>(044)363-02-78, 
(044)363-02-79</t>
  </si>
  <si>
    <t xml:space="preserve">Лук’янівське відділення </t>
  </si>
  <si>
    <t>034   15326804226768260034</t>
  </si>
  <si>
    <t>Дорошенко 
Леся Василівна</t>
  </si>
  <si>
    <t>093-062-81-35</t>
  </si>
  <si>
    <t>04053, м. Київ, 
вул. Січових Стрільців, 7</t>
  </si>
  <si>
    <t>7 Sichovych Striltsiv St., Kyiv, 04053</t>
  </si>
  <si>
    <t xml:space="preserve">4410- директор, 
  4407, 4408, 4409, 4411, 4412, 4413, 4414, 4415 </t>
  </si>
  <si>
    <t xml:space="preserve">(044)363-07-16
(044)363-07-17
</t>
  </si>
  <si>
    <t xml:space="preserve">Либідське відділення </t>
  </si>
  <si>
    <t>079   15326804226768260079</t>
  </si>
  <si>
    <t>Галайба 
Тетяна Петрівна</t>
  </si>
  <si>
    <t>067-907-97-15</t>
  </si>
  <si>
    <t xml:space="preserve">03150, м. Київ,вул. Антоновича (Горького), 155 </t>
  </si>
  <si>
    <t>155 Antonovych (Gorkiy) St., Kyiv, 03150</t>
  </si>
  <si>
    <t>4420 -директор,
  4422, 4423, 4424, 4425</t>
  </si>
  <si>
    <t xml:space="preserve">(044)363-07-01
(044)363-07-02
</t>
  </si>
  <si>
    <t xml:space="preserve">Осокорківське відділення </t>
  </si>
  <si>
    <t>085   15326804226768260085</t>
  </si>
  <si>
    <t xml:space="preserve">Павелко 
Олена Олександрівна </t>
  </si>
  <si>
    <t>067-737-67-24</t>
  </si>
  <si>
    <t>02095, м. Київ, 
вул. Княжий Затон, 4</t>
  </si>
  <si>
    <t>4 Kniazhyi Zaton St., Kyiv, 02095</t>
  </si>
  <si>
    <t xml:space="preserve"> 4475 - директор
4472, 4473, 4474, 4476</t>
  </si>
  <si>
    <t xml:space="preserve">(044)363-02-76
(044)363-02-77
</t>
  </si>
  <si>
    <t xml:space="preserve">Саксаганське відділення </t>
  </si>
  <si>
    <t>065   15326804226768260065</t>
  </si>
  <si>
    <t>Усатюк 
Юлія Володимирівна</t>
  </si>
  <si>
    <t>097-333-75-59</t>
  </si>
  <si>
    <t>01023, м. КиЇв, 
ул. Шота Руставелі, 40/10</t>
  </si>
  <si>
    <t>40/10 Shota Rustaveli St., Kyiv, 01023</t>
  </si>
  <si>
    <t>4488 - директор,
4487, 4489, 4491, 4492, 4493</t>
  </si>
  <si>
    <t xml:space="preserve">(044)363-02-38
(044)363-02-39
</t>
  </si>
  <si>
    <t xml:space="preserve">Подільське відділення  </t>
  </si>
  <si>
    <t>053   15326804226768260053</t>
  </si>
  <si>
    <t>Балабанцева 
Іванна Сергіївна</t>
  </si>
  <si>
    <t>050-078-44-04</t>
  </si>
  <si>
    <t>04071, м. Київ, 
вул. Верхній Вал, 32</t>
  </si>
  <si>
    <t xml:space="preserve">  32,  Verhniy Vаl St., Kyiv, 04071</t>
  </si>
  <si>
    <t>4145 - директор,
4505, 4506,  4509, 4510, 4511, 4512,  4514, 4515, 4516,  4518, 4146</t>
  </si>
  <si>
    <t xml:space="preserve">(044)363-07-18
(044)363-07-19
</t>
  </si>
  <si>
    <t xml:space="preserve">Політехнічне відділення </t>
  </si>
  <si>
    <t>054   15326804226768260054</t>
  </si>
  <si>
    <t xml:space="preserve"> Мішук 
Інна Вікторівна</t>
  </si>
  <si>
    <t>098-229-18-22</t>
  </si>
  <si>
    <t xml:space="preserve">
м. Київ, просп. Перемоги/вул. Кулібіна, 75/2</t>
  </si>
  <si>
    <t>75/2 Peremohy Boulevard / Kulibin St., Kyiv, 03062</t>
  </si>
  <si>
    <t>4374 - директор,
4375,4378</t>
  </si>
  <si>
    <t xml:space="preserve">(044)363-06-93
(044)363-06-94
</t>
  </si>
  <si>
    <t>Полярне відділення</t>
  </si>
  <si>
    <t>506   15326804226768260506</t>
  </si>
  <si>
    <t>Леоненко 
Анна Анатоліївна</t>
  </si>
  <si>
    <t>093 -460-24-71</t>
  </si>
  <si>
    <t>04050, м. Київ,  
вул. Глибочицька, 29-31</t>
  </si>
  <si>
    <t>29-31 Hlybochytska St., Kyiv, 04050</t>
  </si>
  <si>
    <t>4542-директор,
4537,  4539,  4543</t>
  </si>
  <si>
    <t xml:space="preserve">(044)363-07-14
(044)363-07-15
</t>
  </si>
  <si>
    <t xml:space="preserve">Пушкінське відділення </t>
  </si>
  <si>
    <t>066   15326804226768260102</t>
  </si>
  <si>
    <t xml:space="preserve"> Руденко 
Катерина Іванівна</t>
  </si>
  <si>
    <t>093-294-25-82</t>
  </si>
  <si>
    <t>01004, м. Київ, 
вул. Пушкінська, 24-А</t>
  </si>
  <si>
    <t>24-A Pushkin St., Kyiv, 01004</t>
  </si>
  <si>
    <t>4560 - директор,
4556, 4557, 4558, 4559, , 4561, 4562</t>
  </si>
  <si>
    <t xml:space="preserve">(044)363-02-34
(044)363-02-35
</t>
  </si>
  <si>
    <t xml:space="preserve">Святошинське відділення </t>
  </si>
  <si>
    <t>041   15326804226768260041</t>
  </si>
  <si>
    <t xml:space="preserve"> Іванченко 
Ігор Миколайович</t>
  </si>
  <si>
    <t>063-178-81-66,  
050-215-99-11,
067-121-32-42</t>
  </si>
  <si>
    <t>03062, м. Київ, 
просп. Перемоги/
вул. Кулібіна, 75/2</t>
  </si>
  <si>
    <t>4585 - директор,
4579,4580,4581,4582,4583,4584,,4586</t>
  </si>
  <si>
    <t xml:space="preserve">(044)363-06-95
(044)363-06-96
</t>
  </si>
  <si>
    <t xml:space="preserve">"Сімейний банкінг"
(Family Banking) </t>
  </si>
  <si>
    <t>061   15326804226768260061</t>
  </si>
  <si>
    <t>Бурдейний 
Дмитро Володимирович</t>
  </si>
  <si>
    <t>097-008-30-80</t>
  </si>
  <si>
    <t>01133, м. Київ, 
вул.Мечникова, 10/2</t>
  </si>
  <si>
    <t>10/2 Mechnykov St., Kyiv, 01133</t>
  </si>
  <si>
    <t xml:space="preserve">43-93  - директор
4391, 4192, 4194
</t>
  </si>
  <si>
    <t xml:space="preserve">(044)363-02-72
(044)363-02-73
</t>
  </si>
  <si>
    <t>Столичне відділення</t>
  </si>
  <si>
    <t>290  
15326804226768260290</t>
  </si>
  <si>
    <t>Попович-Д'якова 
Наталія Валеріївна</t>
  </si>
  <si>
    <t>050-581-89-09
067-320-28-53</t>
  </si>
  <si>
    <t>01021, м. Київ, 
вул. Кловський узвіз, 9/2</t>
  </si>
  <si>
    <t>9/2 Klovskyi uzviz St., Kyiv, 01021</t>
  </si>
  <si>
    <t xml:space="preserve">
32-84-директор 
4617-4618-МРК
4613,4615,4624-сектор фізичних осіб 
4616 –ГФОК сектору фізичних осіб
4627-ГФОК сектору юридичних осіб
4626, 4628, 4629, 4630, 4631 - сектор юридичних осіб
</t>
  </si>
  <si>
    <t>(044)521-02-17,                    (044)521-02-54,                   (044)521-02-46</t>
  </si>
  <si>
    <t>Пн. – Пт.: 8:45 – 18:25,  в тому числі з клієнтами Пн. – Пт.: 9:00 – 17:00,  без перерви для клієнтів, перерва для співробітників по гнучкому графіку 1 година; Сб., Нед., святкові дні – вихідні</t>
  </si>
  <si>
    <t xml:space="preserve">Відділення «Вінницька обласна дирекція»  </t>
  </si>
  <si>
    <t>569   15326804226768010569</t>
  </si>
  <si>
    <t xml:space="preserve">  Душкевич    
Людмила Василівна</t>
  </si>
  <si>
    <t>050-353-54-48 
067-32-11-956</t>
  </si>
  <si>
    <t>21018, м. Вінниця,  
вул. Гоголя 30</t>
  </si>
  <si>
    <t>30 Gogol St., Vinnytsia, 21018</t>
  </si>
  <si>
    <t>2400 - директор
  2402, 2403, 2404, 2406, 2414, 2416, 2417, 2418, 2421, 2422, 2423</t>
  </si>
  <si>
    <t xml:space="preserve">(043)250-42-56
(043)250-42-60
(043)250-42-61
(043)250-42-63
(043)250-42-64
</t>
  </si>
  <si>
    <t>Відділення «Волинська обласна дирекція»</t>
  </si>
  <si>
    <t>115     15326804226768020115</t>
  </si>
  <si>
    <t>Гатті 
 Вікторія Анатоліївна</t>
  </si>
  <si>
    <t>050-611-23-49</t>
  </si>
  <si>
    <t>43025, м. Луцьк, 
просп. Волі, 21</t>
  </si>
  <si>
    <t>21 Voli Boulevard, Lutsk, 43025</t>
  </si>
  <si>
    <t>2560 -директор,
2561, 2565, 2566, 2567, 2570</t>
  </si>
  <si>
    <t xml:space="preserve">(0332)78-99-25
(0332)78-99-26
(0332)78-99-27
(0332)78-99-28
(0332)78-99-29
</t>
  </si>
  <si>
    <t>Відділення «Дніпровська обласна дирекція»</t>
  </si>
  <si>
    <t>400   15326804226768030400</t>
  </si>
  <si>
    <t>Сідорова 
Марина Сергіївна</t>
  </si>
  <si>
    <t>066-535-41-76</t>
  </si>
  <si>
    <t>49020, м. Дніпро, 
вул.  Шевченка, 59</t>
  </si>
  <si>
    <t>59 Shevchenko St., Dnipro, 49020</t>
  </si>
  <si>
    <t>2655 - директор,
2650-2659,  2664</t>
  </si>
  <si>
    <t xml:space="preserve">(056)7873045
(056)7873046 
(056)7873047 
(056)7873048 
(056)7873049 
</t>
  </si>
  <si>
    <t xml:space="preserve">Криворізьке відділення </t>
  </si>
  <si>
    <t>361   15326804226768030361</t>
  </si>
  <si>
    <t xml:space="preserve"> Собіна  
Анна Андріївна</t>
  </si>
  <si>
    <t>066-930-38-73,
097-353-86-36</t>
  </si>
  <si>
    <t>50027, м. Кривий Ріг, 
пр-т. Гагаріна, 38 а.</t>
  </si>
  <si>
    <t>38 a Gagarin Boulevard, Kryvyi Rih, 50027</t>
  </si>
  <si>
    <t>2585 - директор,
2580, 2581,2582,2583,2584, 2585, 2587, 2588, 2589</t>
  </si>
  <si>
    <t xml:space="preserve">(0564)70-12-59
(0564)70-12-60
(0564)70-12-63
(0564)70-12-65
(0564)70-12-67
</t>
  </si>
  <si>
    <t>Азовське відділення</t>
  </si>
  <si>
    <t>522   15326804226768040522</t>
  </si>
  <si>
    <t>Лисакова 
Джульєтта Геннадіївна</t>
  </si>
  <si>
    <t>097-319-09-78</t>
  </si>
  <si>
    <t>87500, м. Маріуполь, 
просп.  Миру (Леніна), 81</t>
  </si>
  <si>
    <t>81 Myru (Lenin) Boulevard, Mariupol, 87500</t>
  </si>
  <si>
    <t xml:space="preserve">2023 - директор, 
2020, 2022, 2024
</t>
  </si>
  <si>
    <t>(0629) 52-62-17,
(0629) 52-62-18</t>
  </si>
  <si>
    <t>Відділення «Житомирська обласна дирекція»</t>
  </si>
  <si>
    <t>111   15326804226768050111</t>
  </si>
  <si>
    <t>т.в.о. директора Добровольська 
Світлана Сергіївна</t>
  </si>
  <si>
    <t>067-411-78-97</t>
  </si>
  <si>
    <t xml:space="preserve">10001,  м. Житомир, 
вул. Київська, 79
 </t>
  </si>
  <si>
    <t>79 Kyivska St., Zhytomyr, 10001</t>
  </si>
  <si>
    <t>2316- директор,
2308, 2309, 2311, 2313</t>
  </si>
  <si>
    <t>(412) 42-26-46,            (412) 42-26-44,            (412) 42-26-45,           (412) 42-26-43,          (412) 42-26-47,           (412)42-26-48,          (412)42-19-30</t>
  </si>
  <si>
    <t xml:space="preserve">Відділення «Закарпатська обласна дирекція» </t>
  </si>
  <si>
    <t>157   15326804226768060157</t>
  </si>
  <si>
    <t>Ступак 
Олександр Олександрович</t>
  </si>
  <si>
    <t>050-96-57-179</t>
  </si>
  <si>
    <t>88000, м. Ужгород, 
вул. Київська набережна, 2</t>
  </si>
  <si>
    <t>2 Kyivska Naberezhna St., Uzhhorod, 88000</t>
  </si>
  <si>
    <t>2500- директор,
2501, 2502, 2503 ,2504, 2505, 2507, 2510</t>
  </si>
  <si>
    <t xml:space="preserve">(0312) 63-06-10,
(0312) 63-06-11,
(0312) 63-06-12,
(0312) 63-06-15,
(0312)  63-06-16
(0312) 63-06-18,
(0312) 63-06-19 
</t>
  </si>
  <si>
    <t>Відділення «Запорізька обласна дирекція»</t>
  </si>
  <si>
    <t>282   15326804226768070282</t>
  </si>
  <si>
    <t xml:space="preserve"> Петряєв 
Анатолій Володимирович</t>
  </si>
  <si>
    <t>097-302-86-18</t>
  </si>
  <si>
    <t>69035, м. Запоріжжя,
пр-т. Соборний, 172</t>
  </si>
  <si>
    <t>172 Sobornyi Boulevard, Zaporizhzhia, 69035</t>
  </si>
  <si>
    <t xml:space="preserve">
2772 -директор,
2770, 2778, 2783, 2784, 2786
</t>
  </si>
  <si>
    <t xml:space="preserve">(061)280-55-40
(061)280-55-41
(061)280-55-42
(061)280-55-43
(061)280-55-44
       </t>
  </si>
  <si>
    <t>Відділення «Івано-Франківська обласна дирекція»</t>
  </si>
  <si>
    <t>453   15326804226768080453</t>
  </si>
  <si>
    <t>Срібна 
Оксана Михайлівна</t>
  </si>
  <si>
    <t>050-384-01-16</t>
  </si>
  <si>
    <t xml:space="preserve">76018, м. Івано-Франківськ, 
вул. Січових Стрільців, 48 </t>
  </si>
  <si>
    <t xml:space="preserve">48 Sichovych Striltsiv St., Ivano-Frankivsk, 76018 </t>
  </si>
  <si>
    <t xml:space="preserve"> 2065- директор,
 2051,   2060,  2063, 2064</t>
  </si>
  <si>
    <r>
      <rPr>
        <sz val="11"/>
        <rFont val="Calibri"/>
        <family val="2"/>
        <charset val="204"/>
      </rPr>
      <t>(0342) 55-72-01
(0</t>
    </r>
    <r>
      <rPr>
        <sz val="12"/>
        <rFont val="Calibri"/>
        <family val="2"/>
        <charset val="204"/>
      </rPr>
      <t>342)55-72-00
(0342)55-72-02
(0342)55-72-03
(0342)55-72-04
(0342)55-72-05
(0342)55-72-10
(0342)55-72-11</t>
    </r>
    <r>
      <rPr>
        <sz val="11"/>
        <rFont val="Calibri"/>
        <family val="2"/>
        <charset val="204"/>
      </rPr>
      <t xml:space="preserve">
</t>
    </r>
  </si>
  <si>
    <t>Відділення «Кіровоградська обласна дирекція»</t>
  </si>
  <si>
    <t>468   15326804226768100468</t>
  </si>
  <si>
    <t>Бондар 
Михайло Іссакович</t>
  </si>
  <si>
    <t>067-520-07-75</t>
  </si>
  <si>
    <t>25006, м. Кропивницький, 
вул. Шевченка, 3</t>
  </si>
  <si>
    <t>3 Shevchenko St., Kropyvnytskyi, 25006</t>
  </si>
  <si>
    <t>2357 - директор,
 2351, 2353, 2355, 2356, 2359,  2360, 2361, 2362,  2363, 2364, 2367</t>
  </si>
  <si>
    <t xml:space="preserve">(0522) 36-66-80,                                                                                                                                                                                                                                                                      
(0522) 36-66-81,
(0522) 36-66-82
</t>
  </si>
  <si>
    <t>Відділення «Львівська обласна дирекція»</t>
  </si>
  <si>
    <t>247   15326804226768130247</t>
  </si>
  <si>
    <t>Мицик 
Руслана Зіновіївна</t>
  </si>
  <si>
    <t>067-212-82-85</t>
  </si>
  <si>
    <t>79000, м. Львів, 
вул. Січових Стрільців, 3</t>
  </si>
  <si>
    <t>3 V. Sichovykh Strilʹtsiv, Lʹviv , 79000</t>
  </si>
  <si>
    <t xml:space="preserve">2071 - директор,
 2072, 2074, 2075, 2076, 2077, 2079, 2083, 2090, </t>
  </si>
  <si>
    <t xml:space="preserve">(032)226-76-08
(032)226-76-09
(032)226-76-10
(032)226-76-11
(032)226-76-12
</t>
  </si>
  <si>
    <t>Відділення «Миколаївська обласна дирекція»</t>
  </si>
  <si>
    <t>169   15326804226768140169</t>
  </si>
  <si>
    <t>Біла 
Ніна Миколаївна</t>
  </si>
  <si>
    <t>050-737-63-55</t>
  </si>
  <si>
    <t>54029, м. Миколаїв, 
вул. Пушкінська, 35</t>
  </si>
  <si>
    <t>35 Pushkin St., Mykolaiv, 54029</t>
  </si>
  <si>
    <t>2540 - директор , 
2541, 2542, 2543, 2544, 2545</t>
  </si>
  <si>
    <t xml:space="preserve">(0512)76-69-70
(0512)76-69-71
(0512)76-69-72
(0512)76-69-73
(0512)76-69-74
</t>
  </si>
  <si>
    <t xml:space="preserve">Відділення «Одеська обласна дирекція» </t>
  </si>
  <si>
    <t>329   15326804226768150329</t>
  </si>
  <si>
    <t>Вержбицька 
Ірина Віталіївна</t>
  </si>
  <si>
    <t>067-931-26-97</t>
  </si>
  <si>
    <t>65012, м. Одеса, 
вул. Пушкінська, 77</t>
  </si>
  <si>
    <t>77 Pushkin St., Odesa, 65012</t>
  </si>
  <si>
    <t xml:space="preserve">2232 - директор,
2230, 2231, 2236, 2237, 2239                              </t>
  </si>
  <si>
    <t xml:space="preserve">(048)7409345
(048)7409346
(048)7409347
(048)7409348
(048)7409349
</t>
  </si>
  <si>
    <t>Відділення «Полтавська обласна дирекція»</t>
  </si>
  <si>
    <t>198   15326804226768160198</t>
  </si>
  <si>
    <t xml:space="preserve"> Папудько 
Олена Євгеніївна</t>
  </si>
  <si>
    <t>066-553-31-74</t>
  </si>
  <si>
    <t>36020, м. Полтава, 
вул. 1100 - річчя Полтави, 12</t>
  </si>
  <si>
    <t>12 1100-richchia Poltavy St., Poltava, 36020</t>
  </si>
  <si>
    <t xml:space="preserve"> 2451 - директор,
2447, 2458, 2461, 2463
</t>
  </si>
  <si>
    <t xml:space="preserve">(0532) 516-970
(0532) 516-971
(0532) 516-972
(0532) 516-973
(0532) 516-974
(0532) 516-975
(0532) 516-976
</t>
  </si>
  <si>
    <t xml:space="preserve">Молодіжне відділення </t>
  </si>
  <si>
    <t>188   15326804226768160188</t>
  </si>
  <si>
    <t xml:space="preserve"> Щербина 
Нина Юріївна</t>
  </si>
  <si>
    <t xml:space="preserve"> 068-303-70-96</t>
  </si>
  <si>
    <t>39600, м. Кременчук, 
вул. Халаменюка, 4</t>
  </si>
  <si>
    <t>4 Khalameniuk St., Kremenchuk, 39600</t>
  </si>
  <si>
    <t>2484-директор,
2481, 2482,  2483, 2485, 2487</t>
  </si>
  <si>
    <t>(0536) 74-01-74,
(0536) 74-01-85</t>
  </si>
  <si>
    <t>Відділення «Рівненська обласна дирекція»</t>
  </si>
  <si>
    <t>153   15326804226768170153</t>
  </si>
  <si>
    <t>Панасюк 
Михайло Петрович</t>
  </si>
  <si>
    <t>097-675-88-83</t>
  </si>
  <si>
    <t>33028, м. Рівне, 
вул. Соборна, 112</t>
  </si>
  <si>
    <t>112 Soborna St., Rivne, 33028</t>
  </si>
  <si>
    <t xml:space="preserve"> 2470 - директор,
 2471, 2472, 2473, 2474, 2475,  2479</t>
  </si>
  <si>
    <t xml:space="preserve">(0362)46-05-88
(0362)46-05-86
(0362)46-05-87
(0362)46-02-63
(0362)46-02-62
 </t>
  </si>
  <si>
    <t xml:space="preserve">Відділення «Сумська обласна дирекція» </t>
  </si>
  <si>
    <t>356   15326804226768180356</t>
  </si>
  <si>
    <t xml:space="preserve"> Безносик  
Євген Анатолійович</t>
  </si>
  <si>
    <t xml:space="preserve">050-357-61-40
</t>
  </si>
  <si>
    <t>40004, м. Суми, 
вул. Горького,5-А</t>
  </si>
  <si>
    <t>5-a Gorkiy St., Sumy, 40004</t>
  </si>
  <si>
    <t>2525 - директор, 
2521,2522, 2524, 2526, 2527, 2528, 2529, 2530</t>
  </si>
  <si>
    <t>(0542)67-13-40, (0542)67-13-41, (0542)67-13-42, (0542)67-13-43, (0542)67-13-44, (0542)67-13-45, (0542)67-13-46</t>
  </si>
  <si>
    <t xml:space="preserve">Відділення «Тернопільська обласна дирекція» </t>
  </si>
  <si>
    <t>094   15326804226768190094</t>
  </si>
  <si>
    <t>Стігайло 
Юрій Юрійович</t>
  </si>
  <si>
    <t xml:space="preserve">067-600-40-41
</t>
  </si>
  <si>
    <t>46000, м. Тернопіль, 
вул. Руська, 14</t>
  </si>
  <si>
    <t>14 Ruska St., Ternopil, 46000</t>
  </si>
  <si>
    <t>2288 - директор, 
 2282, 2289</t>
  </si>
  <si>
    <t xml:space="preserve">(0352) 52-70-49,  
(0352) 43-49-38;
</t>
  </si>
  <si>
    <r>
      <t>Відділення "Харківська обласна дирекція"</t>
    </r>
    <r>
      <rPr>
        <b/>
        <sz val="11"/>
        <color indexed="8"/>
        <rFont val="Calibri"/>
        <family val="2"/>
        <charset val="204"/>
      </rPr>
      <t xml:space="preserve"> </t>
    </r>
  </si>
  <si>
    <t>616   15326804226768200616</t>
  </si>
  <si>
    <t xml:space="preserve">  Маслов 
Сергій Іванович</t>
  </si>
  <si>
    <t xml:space="preserve">067-729-41-71  </t>
  </si>
  <si>
    <t>61057, м. Харків, 
вул. Сумська 17, 
вул. Сумська, 19</t>
  </si>
  <si>
    <t>17 Sumska St., 19 Sumska St., Kharkiv, 61057</t>
  </si>
  <si>
    <t>2601 - директор,
2602, 2603, 2606, 2607, 2609, 2610, 2611, 2612, 2614, 2621, 2622, 2624, 2625, 2626, 2627, 2628</t>
  </si>
  <si>
    <t xml:space="preserve">(057)766-55-61
(057)766-55-62
(057)766-55-63
(057)766-55-64
(057)766-55-65
</t>
  </si>
  <si>
    <t xml:space="preserve">Відділення «Конституції» </t>
  </si>
  <si>
    <t>639   15326804226768200639</t>
  </si>
  <si>
    <t xml:space="preserve"> Козловський 
Олексій Миколайович</t>
  </si>
  <si>
    <t xml:space="preserve">097-679-58-78
</t>
  </si>
  <si>
    <t>61003, м. Харків, 
майдан Конституції, 2/2</t>
  </si>
  <si>
    <t>2/2 Konstytutsii Square, Kharkiv, 61003</t>
  </si>
  <si>
    <t xml:space="preserve">2590 - директор
 2591,  2593, 2594
</t>
  </si>
  <si>
    <t xml:space="preserve">(057)766-58-62
(057)766-58-63
</t>
  </si>
  <si>
    <t>Набережне відділення</t>
  </si>
  <si>
    <t>642   15326804226768200642</t>
  </si>
  <si>
    <t>Романашенко 
Кристина Валеріївна</t>
  </si>
  <si>
    <t>068-279-80-98</t>
  </si>
  <si>
    <t>61010, м. Харків, 
вул. Гімназійна Набережна, 18</t>
  </si>
  <si>
    <t>18 Himnaziina Naberezhna St., Kharkiv, 61010</t>
  </si>
  <si>
    <t>2639 - директор,
2641, 2643, 2644,  2645, 2646</t>
  </si>
  <si>
    <t xml:space="preserve">(057)766-58-91
(057)766-58-92
</t>
  </si>
  <si>
    <t>Відділення «Херсонська обласна дирекція»</t>
  </si>
  <si>
    <t>232   15326804226768210232</t>
  </si>
  <si>
    <t>Монюк 
Ярослав Степанович</t>
  </si>
  <si>
    <t>050-903-68-29</t>
  </si>
  <si>
    <t>73000, м. Херсон,  
вул. Маяковського,16А</t>
  </si>
  <si>
    <t>16A Mayakovskiy St., Kherson, 73000</t>
  </si>
  <si>
    <t>2203 - директор, 
2201, 2202, 2204, 2205, 2207</t>
  </si>
  <si>
    <t>(0552) 43-57-00,             (0552) 43-57-01,  (0552) 43-57-02,          (0552) 43-57-03,  (0552) 43-57-04,           (0552) 43-57-05,           (0552) 43-57-06, (0552) 22-33-53</t>
  </si>
  <si>
    <t xml:space="preserve">Відділення «Хмельницька обласна дирекція» </t>
  </si>
  <si>
    <t>156   15326804226768220156</t>
  </si>
  <si>
    <t>Сапужак 
Ольга Миколаївна</t>
  </si>
  <si>
    <t>068-657-66-57</t>
  </si>
  <si>
    <t>29000, м. Хмельницький,
 вул. Подільска, 21</t>
  </si>
  <si>
    <t>21 Podilska St., Khmelnytskyi, 29000</t>
  </si>
  <si>
    <t>2270- директор,
 2261, 2265, 2266, 2272, 2273</t>
  </si>
  <si>
    <t xml:space="preserve">(0382)72-47-95
(0382)72-47-96
(0382)72-47-97
(0382)72-47-98
(0382)72-47-99
</t>
  </si>
  <si>
    <t xml:space="preserve">Відділення «Черкаська обласна дирекція»  </t>
  </si>
  <si>
    <t>083   15326804226768230083</t>
  </si>
  <si>
    <t>Дюбін 
Михайло Володимирович</t>
  </si>
  <si>
    <t>097-757-24-28</t>
  </si>
  <si>
    <t>18000, м. Черкаси, 
вул. Лазарєва, 4</t>
  </si>
  <si>
    <t>4 Lazarieva St., Cherkasy, 18000</t>
  </si>
  <si>
    <t>2335-директор,
 2336, 2339,2340, 2341</t>
  </si>
  <si>
    <t xml:space="preserve">(0472)52-02-03
(0472)52-02-04
(0472)52-02-05
(0472)52-02-06
(0472)52-02-07
</t>
  </si>
  <si>
    <t xml:space="preserve">Відділення «Буковинська обласна дирекція» </t>
  </si>
  <si>
    <t>144   15326804226768250144</t>
  </si>
  <si>
    <t xml:space="preserve"> Стрілецький 
Володимир Мирославович</t>
  </si>
  <si>
    <t>066-356-71-66</t>
  </si>
  <si>
    <t xml:space="preserve">58002, м. Чернівці, 
вул. Івана Франка,1 </t>
  </si>
  <si>
    <t>1 Ivan Franko St., Chernivtsi, 58002</t>
  </si>
  <si>
    <t>2011-директор,
2004, 2005, 2006, 2008</t>
  </si>
  <si>
    <t xml:space="preserve">(0372) 58-44-36, 
(0372) 58-58-16,
Тел./факс </t>
  </si>
  <si>
    <t xml:space="preserve">Митне відділення </t>
  </si>
  <si>
    <t>611   15326804226768240611</t>
  </si>
  <si>
    <t>Максименко 
Алла Валентинівна</t>
  </si>
  <si>
    <t>067-460-21-76,              093-296-55-95</t>
  </si>
  <si>
    <t>14000 м. Чернігів 
пр-т. Миру 17</t>
  </si>
  <si>
    <t>17 Myru Boulevard, Chernihiv, 14000</t>
  </si>
  <si>
    <t>2180- директор, 
2182, 2183, 2185, 2187</t>
  </si>
  <si>
    <t>(0462)67-52-35,
(0462)67-52-25</t>
  </si>
  <si>
    <t>Выбрать свое отделение из выпадающего списка!</t>
  </si>
  <si>
    <t xml:space="preserve">Дата надання інформації: </t>
  </si>
  <si>
    <t xml:space="preserve">Ця інформація зберігає чинність та є актуальною до </t>
  </si>
  <si>
    <t xml:space="preserve">Додаток 29 до п. 1. рішення
ЗАТВЕРДЖЕНО
рішенням Голови Правління
АТ «ПРАВЕКС БАНК»
від _._.2020 № ___
</t>
  </si>
  <si>
    <t>Пакет "Фамільний" (перший рік)</t>
  </si>
  <si>
    <t>Пакет "Фамільний" (весь строк)</t>
  </si>
  <si>
    <t>Грошовий потік</t>
  </si>
  <si>
    <t>Одноразова комісія за надання кредиту, %</t>
  </si>
  <si>
    <t>страхування життя (разово)</t>
  </si>
  <si>
    <t>Пакет "Фамільний" (вартість на рік)</t>
  </si>
  <si>
    <t>Пакет "Фамільний" (вартість на весь строк)</t>
  </si>
  <si>
    <t>Ставка перші 3 місяці</t>
  </si>
  <si>
    <t>Процентна ставка, відсотків річних (на перші 3 місяці)</t>
  </si>
  <si>
    <t>Процентна ставка, відсотків річних (з 4-го місяця)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</si>
</sst>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\ [$грн.-422]"/>
    <numFmt numFmtId="166" formatCode="#,##0.00&quot;р.&quot;;[Red]\-#,##0.00&quot;р.&quot;"/>
    <numFmt numFmtId="167" formatCode="0.0%"/>
  </numFmts>
  <fonts count="4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4"/>
      <name val="Arial Cyr"/>
      <charset val="204"/>
    </font>
    <font>
      <sz val="10"/>
      <color indexed="8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i/>
      <sz val="9"/>
      <name val="Arial Cyr"/>
      <charset val="204"/>
    </font>
    <font>
      <i/>
      <sz val="9"/>
      <color theme="0"/>
      <name val="Arial"/>
      <family val="2"/>
      <charset val="204"/>
    </font>
    <font>
      <sz val="10"/>
      <color theme="0"/>
      <name val="Arial"/>
      <family val="2"/>
      <charset val="204"/>
    </font>
    <font>
      <sz val="9"/>
      <color theme="0"/>
      <name val="Calibri"/>
      <family val="2"/>
      <charset val="204"/>
      <scheme val="minor"/>
    </font>
    <font>
      <i/>
      <sz val="9"/>
      <name val="Arial"/>
      <family val="2"/>
      <charset val="204"/>
    </font>
    <font>
      <b/>
      <sz val="9"/>
      <color indexed="8"/>
      <name val="Arial Cyr"/>
      <charset val="204"/>
    </font>
    <font>
      <sz val="11"/>
      <name val="Calibri"/>
      <family val="2"/>
      <charset val="204"/>
      <scheme val="minor"/>
    </font>
    <font>
      <sz val="9"/>
      <color indexed="8"/>
      <name val="Arial Cyr"/>
      <family val="2"/>
      <charset val="204"/>
    </font>
    <font>
      <b/>
      <sz val="10"/>
      <color theme="1"/>
      <name val="Arial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9"/>
      <color theme="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68E38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/>
      <top style="thin">
        <color indexed="6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4"/>
      </top>
      <bottom style="thin">
        <color theme="0"/>
      </bottom>
      <diagonal/>
    </border>
    <border>
      <left/>
      <right/>
      <top style="thin">
        <color theme="4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3" tint="0.39997558519241921"/>
      </bottom>
      <diagonal/>
    </border>
    <border>
      <left/>
      <right/>
      <top style="thin">
        <color theme="4"/>
      </top>
      <bottom style="thin">
        <color theme="3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7A00"/>
      </left>
      <right style="thin">
        <color indexed="64"/>
      </right>
      <top style="thin">
        <color rgb="FF007A00"/>
      </top>
      <bottom style="thin">
        <color rgb="FF007A00"/>
      </bottom>
      <diagonal/>
    </border>
    <border>
      <left/>
      <right/>
      <top style="thin">
        <color rgb="FF007A00"/>
      </top>
      <bottom style="thin">
        <color rgb="FF007A00"/>
      </bottom>
      <diagonal/>
    </border>
    <border>
      <left style="thin">
        <color indexed="64"/>
      </left>
      <right style="thin">
        <color rgb="FF007A00"/>
      </right>
      <top style="thin">
        <color rgb="FF007A00"/>
      </top>
      <bottom style="thin">
        <color rgb="FF007A00"/>
      </bottom>
      <diagonal/>
    </border>
    <border>
      <left style="thin">
        <color rgb="FF007A00"/>
      </left>
      <right/>
      <top style="thin">
        <color rgb="FF007A00"/>
      </top>
      <bottom style="thin">
        <color rgb="FF007A00"/>
      </bottom>
      <diagonal/>
    </border>
    <border>
      <left/>
      <right style="thin">
        <color rgb="FF007A00"/>
      </right>
      <top style="thin">
        <color rgb="FF007A00"/>
      </top>
      <bottom style="thin">
        <color rgb="FF007A00"/>
      </bottom>
      <diagonal/>
    </border>
    <border>
      <left style="thin">
        <color rgb="FF007A00"/>
      </left>
      <right/>
      <top style="thin">
        <color rgb="FF007A00"/>
      </top>
      <bottom/>
      <diagonal/>
    </border>
    <border>
      <left style="thin">
        <color rgb="FF007A00"/>
      </left>
      <right/>
      <top/>
      <bottom/>
      <diagonal/>
    </border>
    <border>
      <left style="thin">
        <color rgb="FF007A00"/>
      </left>
      <right/>
      <top/>
      <bottom style="thin">
        <color rgb="FF007A00"/>
      </bottom>
      <diagonal/>
    </border>
    <border>
      <left style="thin">
        <color indexed="64"/>
      </left>
      <right/>
      <top style="thin">
        <color theme="3" tint="0.39997558519241921"/>
      </top>
      <bottom style="thin">
        <color rgb="FF007A00"/>
      </bottom>
      <diagonal/>
    </border>
    <border>
      <left/>
      <right/>
      <top style="thin">
        <color theme="3" tint="0.39997558519241921"/>
      </top>
      <bottom style="thin">
        <color rgb="FF007A00"/>
      </bottom>
      <diagonal/>
    </border>
    <border>
      <left style="thin">
        <color indexed="64"/>
      </left>
      <right/>
      <top style="thin">
        <color indexed="64"/>
      </top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indexed="64"/>
      </left>
      <right/>
      <top style="thin">
        <color rgb="FF007A00"/>
      </top>
      <bottom style="thin">
        <color rgb="FF007A00"/>
      </bottom>
      <diagonal/>
    </border>
    <border>
      <left/>
      <right style="thin">
        <color indexed="64"/>
      </right>
      <top style="thin">
        <color rgb="FF007A00"/>
      </top>
      <bottom style="thin">
        <color rgb="FF007A00"/>
      </bottom>
      <diagonal/>
    </border>
    <border>
      <left style="thin">
        <color indexed="64"/>
      </left>
      <right/>
      <top style="thin">
        <color rgb="FF007A00"/>
      </top>
      <bottom/>
      <diagonal/>
    </border>
    <border>
      <left/>
      <right style="thin">
        <color indexed="64"/>
      </right>
      <top style="thin">
        <color rgb="FF007A00"/>
      </top>
      <bottom/>
      <diagonal/>
    </border>
    <border>
      <left style="thin">
        <color theme="4"/>
      </left>
      <right/>
      <top style="thin">
        <color indexed="64"/>
      </top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theme="4"/>
      </right>
      <top/>
      <bottom style="thin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  <border>
      <left/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7A00"/>
      </bottom>
      <diagonal/>
    </border>
    <border>
      <left/>
      <right style="thin">
        <color indexed="64"/>
      </right>
      <top style="thin">
        <color indexed="64"/>
      </top>
      <bottom style="thin">
        <color rgb="FF007A00"/>
      </bottom>
      <diagonal/>
    </border>
    <border>
      <left/>
      <right/>
      <top style="thin">
        <color rgb="FF007A00"/>
      </top>
      <bottom/>
      <diagonal/>
    </border>
    <border>
      <left/>
      <right style="thin">
        <color rgb="FF007A00"/>
      </right>
      <top style="thin">
        <color rgb="FF007A00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rgb="FF007A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A00"/>
      </bottom>
      <diagonal/>
    </border>
  </borders>
  <cellStyleXfs count="4">
    <xf numFmtId="0" fontId="0" fillId="0" borderId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397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0" borderId="0" xfId="0" applyFont="1" applyAlignment="1" applyProtection="1">
      <alignment horizontal="left" wrapText="1"/>
      <protection hidden="1"/>
    </xf>
    <xf numFmtId="0" fontId="0" fillId="0" borderId="0" xfId="0"/>
    <xf numFmtId="0" fontId="9" fillId="0" borderId="0" xfId="0" applyFont="1" applyAlignment="1" applyProtection="1">
      <alignment wrapText="1"/>
      <protection hidden="1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 applyAlignment="1">
      <alignment wrapText="1"/>
    </xf>
    <xf numFmtId="0" fontId="8" fillId="2" borderId="0" xfId="1" applyFont="1" applyFill="1" applyBorder="1" applyAlignment="1" applyProtection="1">
      <alignment horizontal="left"/>
      <protection locked="0" hidden="1"/>
    </xf>
    <xf numFmtId="0" fontId="9" fillId="2" borderId="0" xfId="0" applyFont="1" applyFill="1" applyAlignment="1" applyProtection="1">
      <alignment wrapText="1"/>
      <protection hidden="1"/>
    </xf>
    <xf numFmtId="0" fontId="9" fillId="2" borderId="0" xfId="0" applyFont="1" applyFill="1" applyAlignment="1" applyProtection="1">
      <alignment horizontal="left" wrapText="1"/>
      <protection hidden="1"/>
    </xf>
    <xf numFmtId="0" fontId="0" fillId="0" borderId="0" xfId="0" applyFill="1"/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/>
    <xf numFmtId="10" fontId="11" fillId="2" borderId="0" xfId="0" applyNumberFormat="1" applyFont="1" applyFill="1" applyBorder="1"/>
    <xf numFmtId="0" fontId="9" fillId="0" borderId="0" xfId="0" applyFont="1" applyFill="1" applyAlignment="1" applyProtection="1">
      <alignment horizontal="left" wrapText="1"/>
      <protection hidden="1"/>
    </xf>
    <xf numFmtId="0" fontId="9" fillId="0" borderId="0" xfId="0" applyFont="1" applyFill="1" applyBorder="1" applyAlignment="1" applyProtection="1">
      <alignment horizontal="center" wrapText="1"/>
      <protection hidden="1"/>
    </xf>
    <xf numFmtId="14" fontId="0" fillId="0" borderId="0" xfId="0" applyNumberFormat="1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10" fontId="9" fillId="0" borderId="0" xfId="0" applyNumberFormat="1" applyFont="1" applyFill="1" applyBorder="1" applyAlignment="1" applyProtection="1">
      <alignment horizontal="center" wrapText="1"/>
      <protection hidden="1"/>
    </xf>
    <xf numFmtId="4" fontId="9" fillId="0" borderId="0" xfId="0" applyNumberFormat="1" applyFont="1" applyFill="1" applyBorder="1" applyAlignment="1" applyProtection="1">
      <alignment horizontal="center" wrapText="1"/>
      <protection hidden="1"/>
    </xf>
    <xf numFmtId="0" fontId="0" fillId="0" borderId="0" xfId="0" applyFill="1" applyBorder="1" applyAlignment="1">
      <alignment horizontal="center"/>
    </xf>
    <xf numFmtId="0" fontId="13" fillId="0" borderId="0" xfId="0" applyFont="1"/>
    <xf numFmtId="0" fontId="8" fillId="0" borderId="0" xfId="1" applyFont="1" applyAlignment="1" applyProtection="1">
      <alignment vertical="center"/>
      <protection hidden="1"/>
    </xf>
    <xf numFmtId="0" fontId="15" fillId="0" borderId="0" xfId="1" applyFont="1" applyFill="1" applyBorder="1" applyAlignment="1" applyProtection="1">
      <protection locked="0" hidden="1"/>
    </xf>
    <xf numFmtId="14" fontId="16" fillId="0" borderId="0" xfId="1" applyNumberFormat="1" applyFont="1" applyProtection="1">
      <protection hidden="1"/>
    </xf>
    <xf numFmtId="0" fontId="16" fillId="0" borderId="0" xfId="1" applyFont="1" applyFill="1" applyBorder="1" applyAlignment="1" applyProtection="1">
      <alignment horizontal="right"/>
      <protection hidden="1"/>
    </xf>
    <xf numFmtId="0" fontId="8" fillId="0" borderId="0" xfId="1" applyFont="1" applyFill="1" applyBorder="1" applyAlignment="1" applyProtection="1">
      <alignment vertical="center" wrapText="1"/>
      <protection locked="0" hidden="1"/>
    </xf>
    <xf numFmtId="14" fontId="17" fillId="0" borderId="0" xfId="1" applyNumberFormat="1" applyFont="1" applyFill="1" applyBorder="1" applyProtection="1">
      <protection hidden="1"/>
    </xf>
    <xf numFmtId="0" fontId="8" fillId="2" borderId="0" xfId="1" applyFont="1" applyFill="1" applyAlignment="1" applyProtection="1">
      <alignment horizontal="left"/>
      <protection hidden="1"/>
    </xf>
    <xf numFmtId="0" fontId="18" fillId="2" borderId="0" xfId="1" applyFont="1" applyFill="1" applyAlignment="1" applyProtection="1">
      <alignment horizontal="left" vertical="center"/>
      <protection hidden="1"/>
    </xf>
    <xf numFmtId="0" fontId="16" fillId="0" borderId="0" xfId="1" applyFont="1" applyProtection="1">
      <protection hidden="1"/>
    </xf>
    <xf numFmtId="0" fontId="17" fillId="0" borderId="0" xfId="1" applyFont="1" applyFill="1" applyBorder="1" applyProtection="1">
      <protection hidden="1"/>
    </xf>
    <xf numFmtId="0" fontId="17" fillId="0" borderId="0" xfId="1" applyFont="1" applyProtection="1">
      <protection hidden="1"/>
    </xf>
    <xf numFmtId="0" fontId="8" fillId="0" borderId="0" xfId="1" applyFont="1" applyFill="1" applyBorder="1" applyAlignment="1" applyProtection="1">
      <alignment horizontal="left" vertical="center" wrapText="1"/>
      <protection locked="0" hidden="1"/>
    </xf>
    <xf numFmtId="0" fontId="8" fillId="0" borderId="0" xfId="1" applyFont="1" applyFill="1" applyBorder="1" applyAlignment="1" applyProtection="1">
      <alignment horizontal="left" vertical="center"/>
      <protection locked="0" hidden="1"/>
    </xf>
    <xf numFmtId="0" fontId="16" fillId="0" borderId="0" xfId="1" applyFont="1" applyFill="1" applyBorder="1" applyAlignment="1" applyProtection="1">
      <alignment vertical="center"/>
      <protection locked="0" hidden="1"/>
    </xf>
    <xf numFmtId="166" fontId="8" fillId="0" borderId="0" xfId="1" applyNumberFormat="1" applyFont="1" applyProtection="1">
      <protection hidden="1"/>
    </xf>
    <xf numFmtId="0" fontId="20" fillId="2" borderId="11" xfId="1" applyFont="1" applyFill="1" applyBorder="1" applyAlignment="1" applyProtection="1">
      <alignment horizontal="center" vertical="center" wrapText="1"/>
      <protection hidden="1"/>
    </xf>
    <xf numFmtId="0" fontId="20" fillId="2" borderId="11" xfId="1" applyFont="1" applyFill="1" applyBorder="1" applyAlignment="1" applyProtection="1">
      <alignment horizontal="center" vertical="center"/>
      <protection hidden="1"/>
    </xf>
    <xf numFmtId="0" fontId="15" fillId="0" borderId="0" xfId="1" applyFont="1" applyFill="1" applyBorder="1" applyAlignment="1" applyProtection="1">
      <alignment horizontal="right"/>
      <protection hidden="1"/>
    </xf>
    <xf numFmtId="0" fontId="8" fillId="0" borderId="0" xfId="1" applyFont="1" applyProtection="1">
      <protection hidden="1"/>
    </xf>
    <xf numFmtId="0" fontId="8" fillId="0" borderId="0" xfId="1" applyFont="1" applyFill="1" applyBorder="1" applyProtection="1">
      <protection hidden="1"/>
    </xf>
    <xf numFmtId="0" fontId="21" fillId="0" borderId="0" xfId="1" applyFont="1" applyProtection="1">
      <protection hidden="1"/>
    </xf>
    <xf numFmtId="0" fontId="15" fillId="0" borderId="0" xfId="1" applyFont="1" applyProtection="1">
      <protection hidden="1"/>
    </xf>
    <xf numFmtId="0" fontId="22" fillId="0" borderId="0" xfId="0" applyFont="1" applyAlignment="1" applyProtection="1">
      <alignment horizontal="left" wrapText="1"/>
      <protection hidden="1"/>
    </xf>
    <xf numFmtId="0" fontId="19" fillId="0" borderId="0" xfId="1" applyFont="1" applyAlignment="1" applyProtection="1">
      <alignment horizontal="right"/>
      <protection hidden="1"/>
    </xf>
    <xf numFmtId="0" fontId="19" fillId="0" borderId="0" xfId="1" applyFont="1" applyBorder="1" applyAlignment="1" applyProtection="1">
      <alignment horizontal="right"/>
      <protection hidden="1"/>
    </xf>
    <xf numFmtId="0" fontId="8" fillId="0" borderId="17" xfId="1" applyFont="1" applyBorder="1" applyAlignment="1" applyProtection="1">
      <alignment horizontal="center" wrapText="1"/>
      <protection hidden="1"/>
    </xf>
    <xf numFmtId="0" fontId="8" fillId="0" borderId="15" xfId="1" applyFont="1" applyBorder="1" applyAlignment="1" applyProtection="1">
      <alignment horizontal="center" wrapText="1"/>
      <protection hidden="1"/>
    </xf>
    <xf numFmtId="0" fontId="15" fillId="0" borderId="15" xfId="1" applyFont="1" applyBorder="1" applyAlignment="1" applyProtection="1">
      <alignment horizontal="center" wrapText="1"/>
      <protection hidden="1"/>
    </xf>
    <xf numFmtId="0" fontId="23" fillId="4" borderId="19" xfId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25" fillId="2" borderId="11" xfId="1" applyFont="1" applyFill="1" applyBorder="1" applyProtection="1">
      <protection hidden="1"/>
    </xf>
    <xf numFmtId="14" fontId="26" fillId="2" borderId="11" xfId="1" applyNumberFormat="1" applyFont="1" applyFill="1" applyBorder="1" applyAlignment="1" applyProtection="1">
      <alignment horizontal="center"/>
      <protection hidden="1"/>
    </xf>
    <xf numFmtId="0" fontId="26" fillId="2" borderId="11" xfId="1" applyNumberFormat="1" applyFont="1" applyFill="1" applyBorder="1" applyAlignment="1" applyProtection="1">
      <alignment horizontal="center"/>
      <protection hidden="1"/>
    </xf>
    <xf numFmtId="165" fontId="25" fillId="2" borderId="11" xfId="1" applyNumberFormat="1" applyFont="1" applyFill="1" applyBorder="1" applyAlignment="1" applyProtection="1">
      <alignment horizontal="center" vertical="center"/>
      <protection hidden="1"/>
    </xf>
    <xf numFmtId="165" fontId="25" fillId="2" borderId="11" xfId="1" applyNumberFormat="1" applyFont="1" applyFill="1" applyBorder="1" applyAlignment="1" applyProtection="1">
      <alignment horizontal="center" vertical="center" wrapText="1"/>
      <protection hidden="1"/>
    </xf>
    <xf numFmtId="10" fontId="25" fillId="2" borderId="11" xfId="1" applyNumberFormat="1" applyFont="1" applyFill="1" applyBorder="1" applyAlignment="1" applyProtection="1">
      <alignment horizontal="center" vertical="center" wrapText="1"/>
      <protection hidden="1"/>
    </xf>
    <xf numFmtId="14" fontId="0" fillId="0" borderId="11" xfId="0" applyNumberFormat="1" applyFill="1" applyBorder="1" applyAlignment="1">
      <alignment horizontal="center"/>
    </xf>
    <xf numFmtId="165" fontId="27" fillId="2" borderId="11" xfId="1" applyNumberFormat="1" applyFont="1" applyFill="1" applyBorder="1" applyAlignment="1" applyProtection="1">
      <alignment horizontal="center" vertical="center" wrapText="1"/>
      <protection hidden="1"/>
    </xf>
    <xf numFmtId="10" fontId="27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27" fillId="2" borderId="11" xfId="1" applyNumberFormat="1" applyFont="1" applyFill="1" applyBorder="1" applyAlignment="1" applyProtection="1">
      <alignment horizontal="center" vertical="center" wrapText="1"/>
      <protection hidden="1"/>
    </xf>
    <xf numFmtId="4" fontId="11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14" fontId="0" fillId="0" borderId="0" xfId="0" applyNumberFormat="1"/>
    <xf numFmtId="167" fontId="25" fillId="2" borderId="11" xfId="1" applyNumberFormat="1" applyFont="1" applyFill="1" applyBorder="1" applyAlignment="1" applyProtection="1">
      <alignment horizontal="center" vertical="center" wrapText="1"/>
      <protection hidden="1"/>
    </xf>
    <xf numFmtId="14" fontId="0" fillId="2" borderId="25" xfId="0" applyNumberFormat="1" applyFill="1" applyBorder="1"/>
    <xf numFmtId="4" fontId="0" fillId="0" borderId="0" xfId="0" applyNumberFormat="1" applyFill="1" applyBorder="1" applyProtection="1">
      <protection locked="0"/>
    </xf>
    <xf numFmtId="0" fontId="0" fillId="2" borderId="26" xfId="0" applyFill="1" applyBorder="1"/>
    <xf numFmtId="4" fontId="11" fillId="2" borderId="12" xfId="0" applyNumberFormat="1" applyFont="1" applyFill="1" applyBorder="1"/>
    <xf numFmtId="14" fontId="0" fillId="2" borderId="27" xfId="0" applyNumberFormat="1" applyFill="1" applyBorder="1"/>
    <xf numFmtId="0" fontId="11" fillId="2" borderId="0" xfId="0" applyFont="1" applyFill="1"/>
    <xf numFmtId="10" fontId="11" fillId="2" borderId="0" xfId="0" applyNumberFormat="1" applyFont="1" applyFill="1"/>
    <xf numFmtId="10" fontId="0" fillId="0" borderId="0" xfId="0" applyNumberFormat="1" applyFill="1" applyBorder="1" applyProtection="1">
      <protection locked="0"/>
    </xf>
    <xf numFmtId="4" fontId="0" fillId="0" borderId="0" xfId="0" applyNumberFormat="1" applyFill="1" applyBorder="1"/>
    <xf numFmtId="0" fontId="28" fillId="0" borderId="0" xfId="1" applyFont="1" applyFill="1" applyAlignment="1" applyProtection="1">
      <alignment vertical="center"/>
      <protection hidden="1"/>
    </xf>
    <xf numFmtId="0" fontId="9" fillId="2" borderId="29" xfId="0" applyFont="1" applyFill="1" applyBorder="1" applyAlignment="1" applyProtection="1">
      <alignment horizontal="left" wrapText="1"/>
      <protection hidden="1"/>
    </xf>
    <xf numFmtId="4" fontId="0" fillId="0" borderId="14" xfId="0" applyNumberFormat="1" applyFill="1" applyBorder="1" applyProtection="1">
      <protection locked="0"/>
    </xf>
    <xf numFmtId="0" fontId="9" fillId="2" borderId="31" xfId="0" applyFont="1" applyFill="1" applyBorder="1" applyAlignment="1" applyProtection="1">
      <alignment horizontal="left" wrapText="1"/>
      <protection hidden="1"/>
    </xf>
    <xf numFmtId="0" fontId="0" fillId="0" borderId="14" xfId="0" applyFont="1" applyFill="1" applyBorder="1" applyAlignment="1" applyProtection="1">
      <alignment horizontal="left" wrapText="1"/>
      <protection hidden="1"/>
    </xf>
    <xf numFmtId="0" fontId="0" fillId="2" borderId="29" xfId="0" applyFill="1" applyBorder="1"/>
    <xf numFmtId="0" fontId="12" fillId="2" borderId="25" xfId="0" applyFont="1" applyFill="1" applyBorder="1"/>
    <xf numFmtId="0" fontId="0" fillId="2" borderId="35" xfId="0" applyFill="1" applyBorder="1"/>
    <xf numFmtId="10" fontId="11" fillId="2" borderId="13" xfId="0" applyNumberFormat="1" applyFont="1" applyFill="1" applyBorder="1" applyProtection="1"/>
    <xf numFmtId="4" fontId="11" fillId="2" borderId="17" xfId="0" applyNumberFormat="1" applyFont="1" applyFill="1" applyBorder="1"/>
    <xf numFmtId="4" fontId="11" fillId="2" borderId="36" xfId="0" applyNumberFormat="1" applyFont="1" applyFill="1" applyBorder="1"/>
    <xf numFmtId="4" fontId="11" fillId="2" borderId="0" xfId="0" applyNumberFormat="1" applyFont="1" applyFill="1" applyBorder="1"/>
    <xf numFmtId="0" fontId="9" fillId="2" borderId="0" xfId="0" applyFont="1" applyFill="1" applyBorder="1" applyAlignment="1" applyProtection="1">
      <alignment horizontal="left" wrapText="1"/>
      <protection hidden="1"/>
    </xf>
    <xf numFmtId="0" fontId="0" fillId="2" borderId="40" xfId="0" applyFill="1" applyBorder="1"/>
    <xf numFmtId="0" fontId="0" fillId="2" borderId="42" xfId="0" applyFill="1" applyBorder="1"/>
    <xf numFmtId="0" fontId="0" fillId="2" borderId="37" xfId="0" applyFill="1" applyBorder="1"/>
    <xf numFmtId="0" fontId="0" fillId="2" borderId="15" xfId="0" applyFill="1" applyBorder="1"/>
    <xf numFmtId="0" fontId="0" fillId="2" borderId="43" xfId="0" applyFill="1" applyBorder="1"/>
    <xf numFmtId="10" fontId="11" fillId="2" borderId="36" xfId="0" applyNumberFormat="1" applyFont="1" applyFill="1" applyBorder="1" applyProtection="1">
      <protection locked="0"/>
    </xf>
    <xf numFmtId="10" fontId="0" fillId="2" borderId="39" xfId="0" applyNumberFormat="1" applyFill="1" applyBorder="1" applyProtection="1">
      <protection locked="0"/>
    </xf>
    <xf numFmtId="0" fontId="0" fillId="2" borderId="44" xfId="0" applyFill="1" applyBorder="1"/>
    <xf numFmtId="10" fontId="0" fillId="2" borderId="45" xfId="0" applyNumberFormat="1" applyFill="1" applyBorder="1"/>
    <xf numFmtId="0" fontId="9" fillId="5" borderId="47" xfId="0" applyFont="1" applyFill="1" applyBorder="1" applyAlignment="1" applyProtection="1">
      <alignment horizontal="left" wrapText="1"/>
      <protection hidden="1"/>
    </xf>
    <xf numFmtId="4" fontId="0" fillId="2" borderId="48" xfId="0" applyNumberFormat="1" applyFill="1" applyBorder="1" applyProtection="1">
      <protection locked="0"/>
    </xf>
    <xf numFmtId="0" fontId="0" fillId="5" borderId="46" xfId="0" applyFont="1" applyFill="1" applyBorder="1" applyAlignment="1" applyProtection="1">
      <alignment horizontal="left" wrapText="1"/>
      <protection hidden="1"/>
    </xf>
    <xf numFmtId="0" fontId="10" fillId="5" borderId="34" xfId="0" applyFont="1" applyFill="1" applyBorder="1" applyAlignment="1" applyProtection="1">
      <alignment horizontal="center" vertical="center" wrapText="1"/>
      <protection hidden="1"/>
    </xf>
    <xf numFmtId="0" fontId="10" fillId="5" borderId="28" xfId="0" applyFont="1" applyFill="1" applyBorder="1" applyAlignment="1" applyProtection="1">
      <alignment horizontal="center" vertical="center" wrapText="1"/>
      <protection hidden="1"/>
    </xf>
    <xf numFmtId="0" fontId="10" fillId="5" borderId="32" xfId="0" applyFont="1" applyFill="1" applyBorder="1" applyAlignment="1" applyProtection="1">
      <alignment horizontal="center" vertical="center" wrapText="1"/>
      <protection hidden="1"/>
    </xf>
    <xf numFmtId="0" fontId="10" fillId="5" borderId="33" xfId="0" applyFont="1" applyFill="1" applyBorder="1" applyAlignment="1" applyProtection="1">
      <alignment horizontal="center" vertical="center" wrapText="1"/>
      <protection hidden="1"/>
    </xf>
    <xf numFmtId="0" fontId="10" fillId="5" borderId="30" xfId="0" applyFont="1" applyFill="1" applyBorder="1" applyAlignment="1" applyProtection="1">
      <alignment horizontal="center" vertical="center" wrapText="1"/>
      <protection hidden="1"/>
    </xf>
    <xf numFmtId="0" fontId="10" fillId="5" borderId="0" xfId="0" applyFont="1" applyFill="1" applyBorder="1" applyAlignment="1" applyProtection="1">
      <alignment horizontal="center" vertical="center" wrapText="1"/>
      <protection hidden="1"/>
    </xf>
    <xf numFmtId="0" fontId="0" fillId="0" borderId="36" xfId="0" applyFont="1" applyFill="1" applyBorder="1"/>
    <xf numFmtId="0" fontId="0" fillId="0" borderId="38" xfId="0" applyFont="1" applyFill="1" applyBorder="1"/>
    <xf numFmtId="0" fontId="0" fillId="0" borderId="41" xfId="0" applyFont="1" applyFill="1" applyBorder="1"/>
    <xf numFmtId="0" fontId="9" fillId="2" borderId="50" xfId="0" applyFont="1" applyFill="1" applyBorder="1" applyAlignment="1" applyProtection="1">
      <alignment wrapText="1"/>
      <protection hidden="1"/>
    </xf>
    <xf numFmtId="0" fontId="9" fillId="2" borderId="0" xfId="0" applyFont="1" applyFill="1" applyBorder="1" applyAlignment="1" applyProtection="1">
      <alignment wrapText="1"/>
      <protection hidden="1"/>
    </xf>
    <xf numFmtId="0" fontId="11" fillId="2" borderId="51" xfId="0" applyFont="1" applyFill="1" applyBorder="1" applyAlignment="1" applyProtection="1">
      <alignment horizontal="left" wrapText="1"/>
      <protection hidden="1"/>
    </xf>
    <xf numFmtId="0" fontId="29" fillId="2" borderId="52" xfId="0" applyFont="1" applyFill="1" applyBorder="1" applyAlignment="1" applyProtection="1">
      <alignment horizontal="left" wrapText="1"/>
      <protection hidden="1"/>
    </xf>
    <xf numFmtId="0" fontId="29" fillId="2" borderId="54" xfId="0" applyFont="1" applyFill="1" applyBorder="1" applyAlignment="1" applyProtection="1">
      <alignment wrapText="1"/>
      <protection hidden="1"/>
    </xf>
    <xf numFmtId="0" fontId="9" fillId="2" borderId="53" xfId="0" applyFont="1" applyFill="1" applyBorder="1" applyAlignment="1" applyProtection="1">
      <alignment horizontal="left" wrapText="1"/>
      <protection hidden="1"/>
    </xf>
    <xf numFmtId="0" fontId="11" fillId="2" borderId="55" xfId="0" applyFont="1" applyFill="1" applyBorder="1" applyAlignment="1" applyProtection="1">
      <alignment horizontal="left" wrapText="1"/>
      <protection hidden="1"/>
    </xf>
    <xf numFmtId="4" fontId="11" fillId="2" borderId="54" xfId="0" applyNumberFormat="1" applyFont="1" applyFill="1" applyBorder="1"/>
    <xf numFmtId="0" fontId="9" fillId="2" borderId="33" xfId="0" applyFont="1" applyFill="1" applyBorder="1" applyAlignment="1" applyProtection="1">
      <alignment wrapText="1"/>
      <protection hidden="1"/>
    </xf>
    <xf numFmtId="4" fontId="11" fillId="2" borderId="52" xfId="0" applyNumberFormat="1" applyFont="1" applyFill="1" applyBorder="1" applyProtection="1">
      <protection locked="0"/>
    </xf>
    <xf numFmtId="10" fontId="20" fillId="2" borderId="11" xfId="1" applyNumberFormat="1" applyFont="1" applyFill="1" applyBorder="1" applyAlignment="1" applyProtection="1">
      <alignment horizontal="center" vertical="center" wrapText="1"/>
      <protection hidden="1"/>
    </xf>
    <xf numFmtId="10" fontId="20" fillId="2" borderId="11" xfId="1" applyNumberFormat="1" applyFont="1" applyFill="1" applyBorder="1" applyAlignment="1" applyProtection="1">
      <alignment horizontal="center" vertical="center"/>
      <protection hidden="1"/>
    </xf>
    <xf numFmtId="0" fontId="23" fillId="4" borderId="19" xfId="1" applyFont="1" applyFill="1" applyBorder="1" applyAlignment="1" applyProtection="1">
      <alignment horizontal="center" vertical="center" wrapText="1"/>
      <protection hidden="1"/>
    </xf>
    <xf numFmtId="4" fontId="27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165" fontId="25" fillId="2" borderId="25" xfId="1" applyNumberFormat="1" applyFont="1" applyFill="1" applyBorder="1" applyAlignment="1" applyProtection="1">
      <alignment horizontal="center" vertical="center" wrapText="1"/>
      <protection hidden="1"/>
    </xf>
    <xf numFmtId="0" fontId="28" fillId="0" borderId="0" xfId="1" applyFont="1" applyFill="1" applyBorder="1" applyAlignment="1" applyProtection="1">
      <alignment vertical="center"/>
      <protection hidden="1"/>
    </xf>
    <xf numFmtId="167" fontId="30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10" fontId="11" fillId="2" borderId="0" xfId="0" applyNumberFormat="1" applyFont="1" applyFill="1" applyBorder="1" applyProtection="1">
      <protection locked="0"/>
    </xf>
    <xf numFmtId="10" fontId="0" fillId="2" borderId="40" xfId="0" applyNumberFormat="1" applyFill="1" applyBorder="1" applyProtection="1">
      <protection locked="0"/>
    </xf>
    <xf numFmtId="0" fontId="0" fillId="5" borderId="47" xfId="0" applyFont="1" applyFill="1" applyBorder="1" applyAlignment="1" applyProtection="1">
      <alignment horizontal="left" wrapText="1"/>
      <protection hidden="1"/>
    </xf>
    <xf numFmtId="0" fontId="11" fillId="2" borderId="52" xfId="0" applyFont="1" applyFill="1" applyBorder="1" applyAlignment="1" applyProtection="1">
      <alignment horizontal="left" wrapText="1"/>
      <protection hidden="1"/>
    </xf>
    <xf numFmtId="0" fontId="11" fillId="2" borderId="54" xfId="0" applyFont="1" applyFill="1" applyBorder="1" applyAlignment="1" applyProtection="1">
      <alignment horizontal="left" wrapText="1"/>
      <protection hidden="1"/>
    </xf>
    <xf numFmtId="0" fontId="0" fillId="0" borderId="0" xfId="0" applyFont="1" applyFill="1" applyBorder="1" applyAlignment="1" applyProtection="1">
      <alignment horizontal="left" wrapText="1"/>
      <protection hidden="1"/>
    </xf>
    <xf numFmtId="0" fontId="0" fillId="2" borderId="76" xfId="0" applyFill="1" applyBorder="1" applyAlignment="1">
      <alignment horizontal="left"/>
    </xf>
    <xf numFmtId="0" fontId="0" fillId="2" borderId="78" xfId="0" applyFill="1" applyBorder="1" applyAlignment="1"/>
    <xf numFmtId="0" fontId="0" fillId="0" borderId="76" xfId="0" applyBorder="1" applyAlignment="1"/>
    <xf numFmtId="0" fontId="0" fillId="0" borderId="79" xfId="0" applyBorder="1" applyAlignment="1"/>
    <xf numFmtId="0" fontId="0" fillId="2" borderId="80" xfId="0" applyFill="1" applyBorder="1" applyAlignment="1"/>
    <xf numFmtId="0" fontId="0" fillId="0" borderId="36" xfId="0" applyFont="1" applyFill="1" applyBorder="1" applyAlignment="1"/>
    <xf numFmtId="0" fontId="0" fillId="0" borderId="43" xfId="0" applyFont="1" applyFill="1" applyBorder="1" applyAlignment="1"/>
    <xf numFmtId="0" fontId="0" fillId="0" borderId="62" xfId="0" applyFill="1" applyBorder="1" applyAlignment="1"/>
    <xf numFmtId="0" fontId="0" fillId="0" borderId="63" xfId="0" applyFill="1" applyBorder="1" applyAlignment="1"/>
    <xf numFmtId="0" fontId="0" fillId="0" borderId="83" xfId="0" applyFill="1" applyBorder="1" applyAlignment="1"/>
    <xf numFmtId="0" fontId="0" fillId="0" borderId="84" xfId="0" applyFill="1" applyBorder="1" applyAlignment="1"/>
    <xf numFmtId="10" fontId="0" fillId="6" borderId="87" xfId="0" applyNumberFormat="1" applyFill="1" applyBorder="1" applyAlignment="1" applyProtection="1">
      <protection locked="0"/>
    </xf>
    <xf numFmtId="0" fontId="0" fillId="0" borderId="0" xfId="0" applyFont="1" applyFill="1" applyBorder="1"/>
    <xf numFmtId="10" fontId="0" fillId="2" borderId="0" xfId="0" applyNumberFormat="1" applyFill="1" applyBorder="1" applyProtection="1">
      <protection locked="0"/>
    </xf>
    <xf numFmtId="0" fontId="0" fillId="0" borderId="85" xfId="0" applyFont="1" applyFill="1" applyBorder="1"/>
    <xf numFmtId="14" fontId="11" fillId="2" borderId="91" xfId="0" applyNumberFormat="1" applyFont="1" applyFill="1" applyBorder="1"/>
    <xf numFmtId="0" fontId="0" fillId="0" borderId="25" xfId="0" applyFont="1" applyFill="1" applyBorder="1"/>
    <xf numFmtId="4" fontId="0" fillId="2" borderId="24" xfId="0" applyNumberFormat="1" applyFill="1" applyBorder="1" applyProtection="1">
      <protection locked="0"/>
    </xf>
    <xf numFmtId="0" fontId="0" fillId="0" borderId="11" xfId="0" applyFont="1" applyFill="1" applyBorder="1"/>
    <xf numFmtId="4" fontId="0" fillId="2" borderId="16" xfId="0" applyNumberFormat="1" applyFill="1" applyBorder="1" applyProtection="1">
      <protection locked="0"/>
    </xf>
    <xf numFmtId="0" fontId="0" fillId="0" borderId="14" xfId="0" applyFont="1" applyFill="1" applyBorder="1"/>
    <xf numFmtId="10" fontId="0" fillId="2" borderId="23" xfId="0" applyNumberFormat="1" applyFill="1" applyBorder="1" applyProtection="1"/>
    <xf numFmtId="0" fontId="0" fillId="0" borderId="92" xfId="0" applyFont="1" applyFill="1" applyBorder="1"/>
    <xf numFmtId="0" fontId="0" fillId="0" borderId="94" xfId="0" applyFont="1" applyFill="1" applyBorder="1"/>
    <xf numFmtId="0" fontId="0" fillId="0" borderId="96" xfId="0" applyFont="1" applyFill="1" applyBorder="1"/>
    <xf numFmtId="10" fontId="11" fillId="2" borderId="97" xfId="0" applyNumberFormat="1" applyFont="1" applyFill="1" applyBorder="1" applyProtection="1">
      <protection locked="0"/>
    </xf>
    <xf numFmtId="4" fontId="0" fillId="6" borderId="93" xfId="0" applyNumberFormat="1" applyFill="1" applyBorder="1" applyProtection="1">
      <protection locked="0"/>
    </xf>
    <xf numFmtId="0" fontId="0" fillId="6" borderId="95" xfId="0" applyFill="1" applyBorder="1" applyProtection="1">
      <protection locked="0"/>
    </xf>
    <xf numFmtId="10" fontId="0" fillId="6" borderId="98" xfId="0" applyNumberFormat="1" applyFill="1" applyBorder="1" applyProtection="1">
      <protection locked="0"/>
    </xf>
    <xf numFmtId="0" fontId="11" fillId="2" borderId="0" xfId="0" applyFont="1" applyFill="1" applyBorder="1"/>
    <xf numFmtId="0" fontId="11" fillId="0" borderId="0" xfId="0" applyFont="1"/>
    <xf numFmtId="0" fontId="11" fillId="2" borderId="0" xfId="0" applyFont="1" applyFill="1" applyBorder="1" applyProtection="1">
      <protection locked="0"/>
    </xf>
    <xf numFmtId="4" fontId="11" fillId="0" borderId="0" xfId="0" applyNumberFormat="1" applyFont="1"/>
    <xf numFmtId="4" fontId="11" fillId="2" borderId="0" xfId="0" applyNumberFormat="1" applyFont="1" applyFill="1"/>
    <xf numFmtId="4" fontId="32" fillId="0" borderId="0" xfId="0" applyNumberFormat="1" applyFont="1" applyFill="1" applyBorder="1" applyAlignment="1">
      <alignment horizontal="center"/>
    </xf>
    <xf numFmtId="0" fontId="33" fillId="4" borderId="26" xfId="1" applyFont="1" applyFill="1" applyBorder="1" applyAlignment="1" applyProtection="1">
      <alignment horizontal="center" vertical="center" wrapText="1"/>
      <protection hidden="1"/>
    </xf>
    <xf numFmtId="0" fontId="33" fillId="4" borderId="16" xfId="1" applyFont="1" applyFill="1" applyBorder="1" applyAlignment="1" applyProtection="1">
      <alignment horizontal="center" vertical="center" wrapText="1"/>
      <protection hidden="1"/>
    </xf>
    <xf numFmtId="0" fontId="34" fillId="0" borderId="0" xfId="1" applyFont="1" applyFill="1" applyBorder="1" applyAlignment="1" applyProtection="1">
      <protection locked="0" hidden="1"/>
    </xf>
    <xf numFmtId="165" fontId="8" fillId="0" borderId="27" xfId="1" applyNumberFormat="1" applyFont="1" applyFill="1" applyBorder="1" applyAlignment="1" applyProtection="1">
      <alignment horizontal="center" vertical="center" wrapText="1"/>
      <protection locked="0" hidden="1"/>
    </xf>
    <xf numFmtId="165" fontId="27" fillId="2" borderId="25" xfId="1" applyNumberFormat="1" applyFont="1" applyFill="1" applyBorder="1" applyAlignment="1" applyProtection="1">
      <alignment horizontal="center" vertical="center" wrapText="1"/>
      <protection hidden="1"/>
    </xf>
    <xf numFmtId="14" fontId="0" fillId="2" borderId="86" xfId="0" applyNumberFormat="1" applyFill="1" applyBorder="1" applyProtection="1"/>
    <xf numFmtId="4" fontId="0" fillId="0" borderId="90" xfId="0" applyNumberFormat="1" applyFill="1" applyBorder="1" applyAlignment="1" applyProtection="1"/>
    <xf numFmtId="0" fontId="2" fillId="2" borderId="3" xfId="0" applyFont="1" applyFill="1" applyBorder="1" applyAlignment="1">
      <alignment vertical="center" wrapText="1"/>
    </xf>
    <xf numFmtId="0" fontId="37" fillId="2" borderId="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59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2" fillId="2" borderId="59" xfId="0" applyFont="1" applyFill="1" applyBorder="1" applyAlignment="1">
      <alignment horizontal="center" vertical="center" wrapText="1"/>
    </xf>
    <xf numFmtId="0" fontId="32" fillId="7" borderId="11" xfId="0" applyFont="1" applyFill="1" applyBorder="1" applyAlignment="1">
      <alignment horizontal="center" vertical="center" wrapText="1"/>
    </xf>
    <xf numFmtId="0" fontId="40" fillId="7" borderId="11" xfId="0" applyFont="1" applyFill="1" applyBorder="1" applyAlignment="1">
      <alignment horizontal="center" vertical="center" wrapText="1"/>
    </xf>
    <xf numFmtId="14" fontId="32" fillId="7" borderId="11" xfId="0" applyNumberFormat="1" applyFont="1" applyFill="1" applyBorder="1" applyAlignment="1">
      <alignment horizontal="center" vertical="center" wrapText="1"/>
    </xf>
    <xf numFmtId="14" fontId="40" fillId="7" borderId="11" xfId="0" applyNumberFormat="1" applyFont="1" applyFill="1" applyBorder="1" applyAlignment="1">
      <alignment horizontal="center" vertical="center" wrapText="1"/>
    </xf>
    <xf numFmtId="0" fontId="32" fillId="7" borderId="11" xfId="0" applyFont="1" applyFill="1" applyBorder="1" applyAlignment="1">
      <alignment horizontal="left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2" fillId="6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top" wrapText="1"/>
    </xf>
    <xf numFmtId="0" fontId="39" fillId="0" borderId="11" xfId="0" applyFont="1" applyFill="1" applyBorder="1" applyAlignment="1">
      <alignment horizontal="left" vertical="center" wrapText="1"/>
    </xf>
    <xf numFmtId="0" fontId="44" fillId="2" borderId="0" xfId="0" applyFont="1" applyFill="1"/>
    <xf numFmtId="14" fontId="11" fillId="2" borderId="0" xfId="0" applyNumberFormat="1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 wrapText="1"/>
    </xf>
    <xf numFmtId="4" fontId="0" fillId="0" borderId="0" xfId="0" applyNumberFormat="1" applyBorder="1" applyAlignment="1">
      <alignment horizontal="center"/>
    </xf>
    <xf numFmtId="0" fontId="0" fillId="2" borderId="76" xfId="0" applyFill="1" applyBorder="1" applyAlignment="1"/>
    <xf numFmtId="0" fontId="0" fillId="2" borderId="77" xfId="0" applyFill="1" applyBorder="1" applyAlignment="1"/>
    <xf numFmtId="4" fontId="0" fillId="0" borderId="0" xfId="0" applyNumberFormat="1"/>
    <xf numFmtId="0" fontId="32" fillId="0" borderId="0" xfId="0" applyFont="1"/>
    <xf numFmtId="4" fontId="32" fillId="0" borderId="0" xfId="0" applyNumberFormat="1" applyFont="1"/>
    <xf numFmtId="0" fontId="0" fillId="0" borderId="104" xfId="0" applyBorder="1" applyAlignment="1"/>
    <xf numFmtId="0" fontId="0" fillId="0" borderId="105" xfId="0" applyBorder="1" applyAlignment="1"/>
    <xf numFmtId="0" fontId="0" fillId="5" borderId="106" xfId="0" applyFont="1" applyFill="1" applyBorder="1" applyAlignment="1" applyProtection="1">
      <alignment horizontal="left" wrapText="1"/>
      <protection hidden="1"/>
    </xf>
    <xf numFmtId="0" fontId="0" fillId="5" borderId="107" xfId="0" applyFont="1" applyFill="1" applyBorder="1" applyAlignment="1" applyProtection="1">
      <alignment horizontal="left" wrapText="1"/>
      <protection hidden="1"/>
    </xf>
    <xf numFmtId="0" fontId="9" fillId="5" borderId="107" xfId="0" applyFont="1" applyFill="1" applyBorder="1" applyAlignment="1" applyProtection="1">
      <alignment horizontal="left" wrapText="1"/>
      <protection hidden="1"/>
    </xf>
    <xf numFmtId="0" fontId="0" fillId="2" borderId="108" xfId="0" applyFill="1" applyBorder="1" applyAlignment="1"/>
    <xf numFmtId="0" fontId="0" fillId="2" borderId="109" xfId="0" applyFill="1" applyBorder="1" applyAlignment="1"/>
    <xf numFmtId="0" fontId="0" fillId="0" borderId="15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4" fontId="46" fillId="0" borderId="0" xfId="0" applyNumberFormat="1" applyFont="1" applyFill="1" applyBorder="1" applyAlignment="1">
      <alignment horizontal="center"/>
    </xf>
    <xf numFmtId="14" fontId="0" fillId="2" borderId="86" xfId="0" applyNumberFormat="1" applyFill="1" applyBorder="1" applyProtection="1">
      <protection locked="0"/>
    </xf>
    <xf numFmtId="10" fontId="0" fillId="2" borderId="23" xfId="0" applyNumberFormat="1" applyFill="1" applyBorder="1" applyProtection="1">
      <protection locked="0"/>
    </xf>
    <xf numFmtId="10" fontId="11" fillId="2" borderId="26" xfId="0" applyNumberFormat="1" applyFont="1" applyFill="1" applyBorder="1" applyProtection="1">
      <protection locked="0"/>
    </xf>
    <xf numFmtId="10" fontId="0" fillId="2" borderId="16" xfId="0" applyNumberFormat="1" applyFill="1" applyBorder="1" applyProtection="1">
      <protection locked="0"/>
    </xf>
    <xf numFmtId="4" fontId="0" fillId="2" borderId="90" xfId="0" applyNumberFormat="1" applyFill="1" applyBorder="1" applyAlignment="1" applyProtection="1"/>
    <xf numFmtId="10" fontId="0" fillId="2" borderId="87" xfId="0" applyNumberFormat="1" applyFill="1" applyBorder="1" applyAlignment="1" applyProtection="1"/>
    <xf numFmtId="10" fontId="0" fillId="2" borderId="98" xfId="0" applyNumberFormat="1" applyFill="1" applyBorder="1" applyProtection="1"/>
    <xf numFmtId="0" fontId="45" fillId="2" borderId="0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6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9" fontId="4" fillId="2" borderId="2" xfId="0" applyNumberFormat="1" applyFont="1" applyFill="1" applyBorder="1" applyAlignment="1">
      <alignment horizontal="center" vertical="center" wrapText="1"/>
    </xf>
    <xf numFmtId="0" fontId="38" fillId="2" borderId="9" xfId="0" applyFont="1" applyFill="1" applyBorder="1" applyAlignment="1">
      <alignment horizontal="center" vertical="center" wrapText="1"/>
    </xf>
    <xf numFmtId="0" fontId="38" fillId="2" borderId="10" xfId="0" applyFont="1" applyFill="1" applyBorder="1" applyAlignment="1">
      <alignment horizontal="center" vertical="center" wrapText="1"/>
    </xf>
    <xf numFmtId="0" fontId="38" fillId="2" borderId="58" xfId="0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38" fillId="2" borderId="7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 wrapText="1"/>
    </xf>
    <xf numFmtId="4" fontId="0" fillId="2" borderId="7" xfId="0" applyNumberFormat="1" applyFill="1" applyBorder="1" applyAlignment="1" applyProtection="1">
      <alignment horizontal="center"/>
      <protection locked="0"/>
    </xf>
    <xf numFmtId="4" fontId="0" fillId="2" borderId="5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4" fontId="0" fillId="2" borderId="58" xfId="0" applyNumberFormat="1" applyFill="1" applyBorder="1" applyAlignment="1" applyProtection="1">
      <alignment horizontal="center"/>
      <protection locked="0"/>
    </xf>
    <xf numFmtId="4" fontId="0" fillId="2" borderId="6" xfId="0" applyNumberFormat="1" applyFill="1" applyBorder="1" applyAlignment="1" applyProtection="1">
      <alignment horizontal="center"/>
      <protection locked="0"/>
    </xf>
    <xf numFmtId="0" fontId="4" fillId="2" borderId="58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0" fillId="5" borderId="73" xfId="0" applyFont="1" applyFill="1" applyBorder="1" applyAlignment="1" applyProtection="1">
      <alignment horizontal="center" vertical="center" wrapText="1"/>
      <protection hidden="1"/>
    </xf>
    <xf numFmtId="0" fontId="10" fillId="5" borderId="31" xfId="0" applyFont="1" applyFill="1" applyBorder="1" applyAlignment="1" applyProtection="1">
      <alignment horizontal="center" vertical="center" wrapText="1"/>
      <protection hidden="1"/>
    </xf>
    <xf numFmtId="0" fontId="10" fillId="5" borderId="74" xfId="0" applyFont="1" applyFill="1" applyBorder="1" applyAlignment="1" applyProtection="1">
      <alignment horizontal="center" vertical="center" wrapText="1"/>
      <protection hidden="1"/>
    </xf>
    <xf numFmtId="0" fontId="0" fillId="2" borderId="75" xfId="0" applyFill="1" applyBorder="1" applyAlignment="1">
      <alignment horizontal="left"/>
    </xf>
    <xf numFmtId="0" fontId="0" fillId="2" borderId="76" xfId="0" applyFill="1" applyBorder="1" applyAlignment="1">
      <alignment horizontal="left"/>
    </xf>
    <xf numFmtId="0" fontId="0" fillId="2" borderId="77" xfId="0" applyFill="1" applyBorder="1" applyAlignment="1">
      <alignment horizontal="left"/>
    </xf>
    <xf numFmtId="10" fontId="0" fillId="2" borderId="87" xfId="0" applyNumberFormat="1" applyFill="1" applyBorder="1" applyAlignment="1" applyProtection="1">
      <alignment horizontal="center"/>
    </xf>
    <xf numFmtId="10" fontId="0" fillId="2" borderId="88" xfId="0" applyNumberFormat="1" applyFill="1" applyBorder="1" applyAlignment="1" applyProtection="1">
      <alignment horizontal="center"/>
    </xf>
    <xf numFmtId="4" fontId="0" fillId="2" borderId="87" xfId="0" applyNumberFormat="1" applyFill="1" applyBorder="1" applyAlignment="1" applyProtection="1">
      <alignment horizontal="center"/>
    </xf>
    <xf numFmtId="4" fontId="0" fillId="2" borderId="88" xfId="0" applyNumberFormat="1" applyFill="1" applyBorder="1" applyAlignment="1" applyProtection="1">
      <alignment horizontal="center"/>
    </xf>
    <xf numFmtId="0" fontId="0" fillId="2" borderId="80" xfId="0" applyFill="1" applyBorder="1" applyAlignment="1">
      <alignment horizontal="center" vertical="center"/>
    </xf>
    <xf numFmtId="0" fontId="0" fillId="2" borderId="81" xfId="0" applyFill="1" applyBorder="1" applyAlignment="1">
      <alignment horizontal="center" vertical="center"/>
    </xf>
    <xf numFmtId="4" fontId="0" fillId="2" borderId="89" xfId="0" applyNumberFormat="1" applyFill="1" applyBorder="1" applyAlignment="1" applyProtection="1">
      <alignment horizontal="center"/>
    </xf>
    <xf numFmtId="4" fontId="0" fillId="2" borderId="90" xfId="0" applyNumberFormat="1" applyFill="1" applyBorder="1" applyAlignment="1" applyProtection="1">
      <alignment horizontal="center"/>
    </xf>
    <xf numFmtId="0" fontId="0" fillId="2" borderId="78" xfId="0" applyFill="1" applyBorder="1" applyAlignment="1">
      <alignment horizontal="center"/>
    </xf>
    <xf numFmtId="0" fontId="0" fillId="2" borderId="7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4" fontId="0" fillId="2" borderId="11" xfId="0" applyNumberFormat="1" applyFill="1" applyBorder="1" applyAlignment="1" applyProtection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9" fillId="2" borderId="12" xfId="0" applyFont="1" applyFill="1" applyBorder="1" applyAlignment="1" applyProtection="1">
      <alignment horizontal="center" wrapText="1"/>
      <protection hidden="1"/>
    </xf>
    <xf numFmtId="0" fontId="9" fillId="2" borderId="16" xfId="0" applyFont="1" applyFill="1" applyBorder="1" applyAlignment="1" applyProtection="1">
      <alignment horizontal="center" wrapText="1"/>
      <protection hidden="1"/>
    </xf>
    <xf numFmtId="14" fontId="0" fillId="2" borderId="56" xfId="0" applyNumberFormat="1" applyFill="1" applyBorder="1" applyAlignment="1">
      <alignment horizontal="center"/>
    </xf>
    <xf numFmtId="14" fontId="0" fillId="2" borderId="49" xfId="0" applyNumberFormat="1" applyFill="1" applyBorder="1" applyAlignment="1">
      <alignment horizontal="center"/>
    </xf>
    <xf numFmtId="14" fontId="0" fillId="2" borderId="57" xfId="0" applyNumberForma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10" fontId="0" fillId="2" borderId="102" xfId="0" applyNumberFormat="1" applyFill="1" applyBorder="1" applyAlignment="1" applyProtection="1">
      <alignment horizontal="center"/>
    </xf>
    <xf numFmtId="10" fontId="0" fillId="2" borderId="103" xfId="0" applyNumberFormat="1" applyFill="1" applyBorder="1" applyAlignment="1" applyProtection="1">
      <alignment horizontal="center"/>
    </xf>
    <xf numFmtId="9" fontId="2" fillId="2" borderId="1" xfId="0" applyNumberFormat="1" applyFont="1" applyFill="1" applyBorder="1" applyAlignment="1">
      <alignment horizontal="center" vertical="center" wrapText="1"/>
    </xf>
    <xf numFmtId="10" fontId="0" fillId="6" borderId="87" xfId="0" applyNumberFormat="1" applyFill="1" applyBorder="1" applyAlignment="1" applyProtection="1">
      <alignment horizontal="center"/>
      <protection locked="0"/>
    </xf>
    <xf numFmtId="10" fontId="0" fillId="6" borderId="88" xfId="0" applyNumberFormat="1" applyFill="1" applyBorder="1" applyAlignment="1" applyProtection="1">
      <alignment horizontal="center"/>
      <protection locked="0"/>
    </xf>
    <xf numFmtId="4" fontId="0" fillId="0" borderId="87" xfId="0" applyNumberFormat="1" applyFill="1" applyBorder="1" applyAlignment="1" applyProtection="1">
      <alignment horizontal="center"/>
    </xf>
    <xf numFmtId="4" fontId="0" fillId="0" borderId="88" xfId="0" applyNumberFormat="1" applyFill="1" applyBorder="1" applyAlignment="1" applyProtection="1">
      <alignment horizontal="center"/>
    </xf>
    <xf numFmtId="0" fontId="0" fillId="2" borderId="82" xfId="0" applyFill="1" applyBorder="1" applyAlignment="1">
      <alignment horizontal="center" vertical="center"/>
    </xf>
    <xf numFmtId="4" fontId="0" fillId="6" borderId="89" xfId="0" applyNumberFormat="1" applyFill="1" applyBorder="1" applyAlignment="1" applyProtection="1">
      <alignment horizontal="center"/>
      <protection locked="0"/>
    </xf>
    <xf numFmtId="4" fontId="0" fillId="6" borderId="90" xfId="0" applyNumberFormat="1" applyFill="1" applyBorder="1" applyAlignment="1" applyProtection="1">
      <alignment horizontal="center"/>
      <protection locked="0"/>
    </xf>
    <xf numFmtId="4" fontId="0" fillId="6" borderId="11" xfId="0" applyNumberFormat="1" applyFill="1" applyBorder="1" applyAlignment="1" applyProtection="1">
      <alignment horizontal="center"/>
      <protection locked="0"/>
    </xf>
    <xf numFmtId="0" fontId="0" fillId="2" borderId="104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10" fontId="0" fillId="6" borderId="102" xfId="0" applyNumberFormat="1" applyFill="1" applyBorder="1" applyAlignment="1" applyProtection="1">
      <alignment horizontal="center"/>
      <protection locked="0"/>
    </xf>
    <xf numFmtId="10" fontId="0" fillId="6" borderId="103" xfId="0" applyNumberFormat="1" applyFill="1" applyBorder="1" applyAlignment="1" applyProtection="1">
      <alignment horizontal="center"/>
      <protection locked="0"/>
    </xf>
    <xf numFmtId="4" fontId="0" fillId="6" borderId="87" xfId="0" applyNumberFormat="1" applyFill="1" applyBorder="1" applyAlignment="1" applyProtection="1">
      <alignment horizontal="center"/>
      <protection locked="0"/>
    </xf>
    <xf numFmtId="4" fontId="0" fillId="6" borderId="88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165" fontId="8" fillId="0" borderId="14" xfId="1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25" xfId="1" applyFont="1" applyFill="1" applyBorder="1" applyAlignment="1" applyProtection="1">
      <alignment horizontal="center" vertical="center" wrapText="1"/>
      <protection locked="0" hidden="1"/>
    </xf>
    <xf numFmtId="0" fontId="23" fillId="4" borderId="19" xfId="1" applyFont="1" applyFill="1" applyBorder="1" applyAlignment="1" applyProtection="1">
      <alignment horizontal="center" vertical="center" wrapText="1"/>
      <protection hidden="1"/>
    </xf>
    <xf numFmtId="0" fontId="23" fillId="4" borderId="0" xfId="1" applyFont="1" applyFill="1" applyBorder="1" applyAlignment="1" applyProtection="1">
      <alignment horizontal="center" vertical="center" wrapText="1"/>
      <protection hidden="1"/>
    </xf>
    <xf numFmtId="0" fontId="0" fillId="2" borderId="13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165" fontId="28" fillId="0" borderId="0" xfId="1" applyNumberFormat="1" applyFont="1" applyFill="1" applyBorder="1" applyAlignment="1" applyProtection="1">
      <alignment horizontal="left" vertical="center"/>
      <protection locked="0" hidden="1"/>
    </xf>
    <xf numFmtId="165" fontId="22" fillId="0" borderId="14" xfId="1" applyNumberFormat="1" applyFont="1" applyFill="1" applyBorder="1" applyAlignment="1" applyProtection="1">
      <alignment horizontal="center" vertical="center" wrapText="1"/>
      <protection locked="0" hidden="1"/>
    </xf>
    <xf numFmtId="0" fontId="22" fillId="0" borderId="25" xfId="1" applyFont="1" applyFill="1" applyBorder="1" applyAlignment="1" applyProtection="1">
      <alignment horizontal="center" vertical="center" wrapText="1"/>
      <protection locked="0" hidden="1"/>
    </xf>
    <xf numFmtId="165" fontId="8" fillId="2" borderId="71" xfId="1" applyNumberFormat="1" applyFont="1" applyFill="1" applyBorder="1" applyAlignment="1" applyProtection="1">
      <alignment horizontal="left" vertical="center"/>
      <protection hidden="1"/>
    </xf>
    <xf numFmtId="165" fontId="8" fillId="2" borderId="72" xfId="1" applyNumberFormat="1" applyFont="1" applyFill="1" applyBorder="1" applyAlignment="1" applyProtection="1">
      <alignment horizontal="left" vertical="center"/>
      <protection hidden="1"/>
    </xf>
    <xf numFmtId="0" fontId="8" fillId="0" borderId="13" xfId="1" applyFont="1" applyFill="1" applyBorder="1" applyAlignment="1" applyProtection="1">
      <alignment horizontal="center" vertical="center" wrapText="1"/>
      <protection locked="0" hidden="1"/>
    </xf>
    <xf numFmtId="0" fontId="8" fillId="0" borderId="23" xfId="1" applyFont="1" applyFill="1" applyBorder="1" applyAlignment="1" applyProtection="1">
      <alignment horizontal="center" vertical="center" wrapText="1"/>
      <protection locked="0" hidden="1"/>
    </xf>
    <xf numFmtId="0" fontId="8" fillId="0" borderId="17" xfId="1" applyFont="1" applyFill="1" applyBorder="1" applyAlignment="1" applyProtection="1">
      <alignment horizontal="center" vertical="center" wrapText="1"/>
      <protection locked="0" hidden="1"/>
    </xf>
    <xf numFmtId="0" fontId="8" fillId="0" borderId="24" xfId="1" applyFont="1" applyFill="1" applyBorder="1" applyAlignment="1" applyProtection="1">
      <alignment horizontal="center" vertical="center" wrapText="1"/>
      <protection locked="0" hidden="1"/>
    </xf>
    <xf numFmtId="0" fontId="23" fillId="4" borderId="11" xfId="1" applyFont="1" applyFill="1" applyBorder="1" applyAlignment="1" applyProtection="1">
      <alignment horizontal="center" vertical="center" wrapText="1"/>
      <protection hidden="1"/>
    </xf>
    <xf numFmtId="0" fontId="23" fillId="4" borderId="14" xfId="1" applyFont="1" applyFill="1" applyBorder="1" applyAlignment="1" applyProtection="1">
      <alignment horizontal="center" vertical="center" wrapText="1"/>
      <protection hidden="1"/>
    </xf>
    <xf numFmtId="0" fontId="23" fillId="4" borderId="21" xfId="1" applyFont="1" applyFill="1" applyBorder="1" applyAlignment="1" applyProtection="1">
      <alignment horizontal="center" vertical="center" wrapText="1"/>
      <protection hidden="1"/>
    </xf>
    <xf numFmtId="0" fontId="23" fillId="4" borderId="20" xfId="1" applyFont="1" applyFill="1" applyBorder="1" applyAlignment="1" applyProtection="1">
      <alignment horizontal="center" vertical="center" wrapText="1"/>
      <protection hidden="1"/>
    </xf>
    <xf numFmtId="0" fontId="23" fillId="4" borderId="22" xfId="1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/>
      <protection hidden="1"/>
    </xf>
    <xf numFmtId="0" fontId="23" fillId="4" borderId="68" xfId="1" applyFont="1" applyFill="1" applyBorder="1" applyAlignment="1" applyProtection="1">
      <alignment horizontal="center" vertical="center" wrapText="1"/>
      <protection hidden="1"/>
    </xf>
    <xf numFmtId="0" fontId="23" fillId="4" borderId="69" xfId="1" applyFont="1" applyFill="1" applyBorder="1" applyAlignment="1" applyProtection="1">
      <alignment horizontal="center" vertical="center" wrapText="1"/>
      <protection hidden="1"/>
    </xf>
    <xf numFmtId="0" fontId="23" fillId="4" borderId="70" xfId="1" applyFont="1" applyFill="1" applyBorder="1" applyAlignment="1" applyProtection="1">
      <alignment horizontal="center" vertical="center" wrapText="1"/>
      <protection hidden="1"/>
    </xf>
    <xf numFmtId="0" fontId="31" fillId="4" borderId="65" xfId="1" applyFont="1" applyFill="1" applyBorder="1" applyAlignment="1" applyProtection="1">
      <alignment horizontal="left" vertical="center" wrapText="1"/>
      <protection hidden="1"/>
    </xf>
    <xf numFmtId="0" fontId="31" fillId="4" borderId="37" xfId="1" applyFont="1" applyFill="1" applyBorder="1" applyAlignment="1" applyProtection="1">
      <alignment horizontal="left" vertical="center" wrapText="1"/>
      <protection hidden="1"/>
    </xf>
    <xf numFmtId="0" fontId="31" fillId="4" borderId="23" xfId="1" applyFont="1" applyFill="1" applyBorder="1" applyAlignment="1" applyProtection="1">
      <alignment horizontal="left" vertical="center" wrapText="1"/>
      <protection hidden="1"/>
    </xf>
    <xf numFmtId="0" fontId="33" fillId="4" borderId="12" xfId="1" applyFont="1" applyFill="1" applyBorder="1" applyAlignment="1" applyProtection="1">
      <alignment horizontal="left" vertical="center" wrapText="1"/>
      <protection hidden="1"/>
    </xf>
    <xf numFmtId="0" fontId="33" fillId="4" borderId="26" xfId="1" applyFont="1" applyFill="1" applyBorder="1" applyAlignment="1" applyProtection="1">
      <alignment horizontal="left" vertical="center" wrapText="1"/>
      <protection hidden="1"/>
    </xf>
    <xf numFmtId="0" fontId="23" fillId="4" borderId="65" xfId="1" applyFont="1" applyFill="1" applyBorder="1" applyAlignment="1" applyProtection="1">
      <alignment horizontal="center" vertical="center" wrapText="1"/>
      <protection hidden="1"/>
    </xf>
    <xf numFmtId="0" fontId="23" fillId="4" borderId="99" xfId="1" applyFont="1" applyFill="1" applyBorder="1" applyAlignment="1" applyProtection="1">
      <alignment horizontal="center" vertical="center" wrapText="1"/>
      <protection hidden="1"/>
    </xf>
    <xf numFmtId="0" fontId="23" fillId="4" borderId="27" xfId="1" applyFont="1" applyFill="1" applyBorder="1" applyAlignment="1" applyProtection="1">
      <alignment horizontal="center" vertical="center" wrapText="1"/>
      <protection hidden="1"/>
    </xf>
    <xf numFmtId="0" fontId="23" fillId="4" borderId="25" xfId="1" applyFont="1" applyFill="1" applyBorder="1" applyAlignment="1" applyProtection="1">
      <alignment horizontal="center" vertical="center" wrapText="1"/>
      <protection hidden="1"/>
    </xf>
    <xf numFmtId="0" fontId="23" fillId="4" borderId="37" xfId="1" applyFont="1" applyFill="1" applyBorder="1" applyAlignment="1" applyProtection="1">
      <alignment horizontal="center" vertical="center" wrapText="1"/>
      <protection hidden="1"/>
    </xf>
    <xf numFmtId="0" fontId="23" fillId="4" borderId="15" xfId="1" applyFont="1" applyFill="1" applyBorder="1" applyAlignment="1" applyProtection="1">
      <alignment horizontal="center" vertical="center" wrapText="1"/>
      <protection hidden="1"/>
    </xf>
    <xf numFmtId="0" fontId="23" fillId="4" borderId="66" xfId="1" applyFont="1" applyFill="1" applyBorder="1" applyAlignment="1" applyProtection="1">
      <alignment horizontal="center" vertical="center" wrapText="1"/>
      <protection hidden="1"/>
    </xf>
    <xf numFmtId="0" fontId="23" fillId="4" borderId="100" xfId="1" applyFont="1" applyFill="1" applyBorder="1" applyAlignment="1" applyProtection="1">
      <alignment horizontal="center" vertical="center" wrapText="1"/>
      <protection hidden="1"/>
    </xf>
    <xf numFmtId="0" fontId="23" fillId="4" borderId="101" xfId="1" applyFont="1" applyFill="1" applyBorder="1" applyAlignment="1" applyProtection="1">
      <alignment horizontal="center" vertical="center" wrapText="1"/>
      <protection hidden="1"/>
    </xf>
    <xf numFmtId="0" fontId="8" fillId="2" borderId="11" xfId="1" applyFont="1" applyFill="1" applyBorder="1" applyAlignment="1" applyProtection="1">
      <alignment horizontal="left"/>
      <protection hidden="1"/>
    </xf>
    <xf numFmtId="0" fontId="20" fillId="2" borderId="15" xfId="1" applyFont="1" applyFill="1" applyBorder="1" applyAlignment="1" applyProtection="1">
      <alignment horizontal="left" wrapText="1"/>
      <protection hidden="1"/>
    </xf>
    <xf numFmtId="0" fontId="20" fillId="2" borderId="12" xfId="1" applyFont="1" applyFill="1" applyBorder="1" applyAlignment="1" applyProtection="1">
      <alignment horizontal="center" vertical="center" wrapText="1"/>
      <protection hidden="1"/>
    </xf>
    <xf numFmtId="0" fontId="20" fillId="2" borderId="16" xfId="1" applyFont="1" applyFill="1" applyBorder="1" applyAlignment="1" applyProtection="1">
      <alignment horizontal="center" vertical="center" wrapText="1"/>
      <protection hidden="1"/>
    </xf>
    <xf numFmtId="14" fontId="20" fillId="2" borderId="12" xfId="1" applyNumberFormat="1" applyFont="1" applyFill="1" applyBorder="1" applyAlignment="1" applyProtection="1">
      <alignment horizontal="center" vertical="center" wrapText="1"/>
      <protection hidden="1"/>
    </xf>
    <xf numFmtId="0" fontId="23" fillId="4" borderId="18" xfId="1" applyFont="1" applyFill="1" applyBorder="1" applyAlignment="1" applyProtection="1">
      <alignment horizontal="center" vertical="center" wrapText="1"/>
      <protection hidden="1"/>
    </xf>
    <xf numFmtId="0" fontId="24" fillId="4" borderId="20" xfId="1" applyFont="1" applyFill="1" applyBorder="1" applyAlignment="1" applyProtection="1">
      <alignment horizontal="center" vertical="center" wrapText="1"/>
      <protection hidden="1"/>
    </xf>
    <xf numFmtId="10" fontId="8" fillId="2" borderId="25" xfId="1" applyNumberFormat="1" applyFont="1" applyFill="1" applyBorder="1" applyAlignment="1" applyProtection="1">
      <alignment horizontal="left" vertical="center"/>
      <protection hidden="1"/>
    </xf>
    <xf numFmtId="14" fontId="8" fillId="2" borderId="11" xfId="1" applyNumberFormat="1" applyFont="1" applyFill="1" applyBorder="1" applyAlignment="1" applyProtection="1">
      <alignment horizontal="left" vertical="center"/>
      <protection locked="0" hidden="1"/>
    </xf>
    <xf numFmtId="0" fontId="8" fillId="2" borderId="11" xfId="1" applyNumberFormat="1" applyFont="1" applyFill="1" applyBorder="1" applyAlignment="1" applyProtection="1">
      <alignment horizontal="left" vertical="center"/>
      <protection locked="0" hidden="1"/>
    </xf>
    <xf numFmtId="3" fontId="19" fillId="2" borderId="11" xfId="1" applyNumberFormat="1" applyFont="1" applyFill="1" applyBorder="1" applyAlignment="1" applyProtection="1">
      <alignment horizontal="left" vertical="center"/>
      <protection hidden="1"/>
    </xf>
    <xf numFmtId="0" fontId="23" fillId="4" borderId="67" xfId="1" applyFont="1" applyFill="1" applyBorder="1" applyAlignment="1" applyProtection="1">
      <alignment horizontal="center" vertical="center" wrapText="1"/>
      <protection hidden="1"/>
    </xf>
    <xf numFmtId="0" fontId="23" fillId="4" borderId="64" xfId="1" applyFont="1" applyFill="1" applyBorder="1" applyAlignment="1" applyProtection="1">
      <alignment horizontal="center" vertical="center" wrapText="1"/>
      <protection hidden="1"/>
    </xf>
    <xf numFmtId="0" fontId="31" fillId="4" borderId="66" xfId="1" applyFont="1" applyFill="1" applyBorder="1" applyAlignment="1" applyProtection="1">
      <alignment horizontal="left" vertical="center" wrapText="1"/>
      <protection hidden="1"/>
    </xf>
  </cellXfs>
  <cellStyles count="4">
    <cellStyle name="Обычный" xfId="0" builtinId="0"/>
    <cellStyle name="Обычный 2" xfId="1"/>
    <cellStyle name="Процентный 2" xfId="2"/>
    <cellStyle name="Финансовый 2" xfId="3"/>
  </cellStyles>
  <dxfs count="0"/>
  <tableStyles count="0" defaultTableStyle="TableStyleMedium2" defaultPivotStyle="PivotStyleLight16"/>
  <colors>
    <mruColors>
      <color rgb="FFF68E38"/>
      <color rgb="FFF5801F"/>
      <color rgb="FFF8A764"/>
      <color rgb="FF42F6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nk@pravex.kiev.u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bank@pravex.kiev.ua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8"/>
  <sheetViews>
    <sheetView topLeftCell="A24" zoomScale="90" zoomScaleNormal="90" workbookViewId="0">
      <selection activeCell="A32" sqref="A32:C32"/>
    </sheetView>
  </sheetViews>
  <sheetFormatPr defaultRowHeight="14.5" x14ac:dyDescent="0.35"/>
  <cols>
    <col min="1" max="1" width="45.54296875" style="8" customWidth="1"/>
    <col min="2" max="2" width="6.54296875" style="8" customWidth="1"/>
    <col min="3" max="3" width="60" style="8" customWidth="1"/>
    <col min="4" max="4" width="10.54296875" style="76" customWidth="1"/>
    <col min="5" max="5" width="9.1796875" style="76"/>
  </cols>
  <sheetData>
    <row r="1" spans="1:5" s="5" customFormat="1" ht="87" x14ac:dyDescent="0.35">
      <c r="A1" s="8"/>
      <c r="B1" s="8"/>
      <c r="C1" s="212" t="s">
        <v>530</v>
      </c>
      <c r="D1" s="76"/>
      <c r="E1" s="76"/>
    </row>
    <row r="2" spans="1:5" ht="15" thickBot="1" x14ac:dyDescent="0.4">
      <c r="A2" s="243" t="s">
        <v>0</v>
      </c>
      <c r="B2" s="244"/>
      <c r="C2" s="244"/>
    </row>
    <row r="3" spans="1:5" ht="15" customHeight="1" x14ac:dyDescent="0.35">
      <c r="A3" s="282" t="s">
        <v>1</v>
      </c>
      <c r="B3" s="276" t="s">
        <v>106</v>
      </c>
      <c r="C3" s="277"/>
    </row>
    <row r="4" spans="1:5" ht="15" thickBot="1" x14ac:dyDescent="0.4">
      <c r="A4" s="283"/>
      <c r="B4" s="278"/>
      <c r="C4" s="279"/>
    </row>
    <row r="5" spans="1:5" ht="15" thickBot="1" x14ac:dyDescent="0.4">
      <c r="A5" s="284"/>
      <c r="B5" s="245" t="s">
        <v>471</v>
      </c>
      <c r="C5" s="246"/>
      <c r="E5" s="209" t="s">
        <v>527</v>
      </c>
    </row>
    <row r="6" spans="1:5" ht="15" customHeight="1" x14ac:dyDescent="0.35">
      <c r="A6" s="282" t="s">
        <v>2</v>
      </c>
      <c r="B6" s="276" t="s">
        <v>3</v>
      </c>
      <c r="C6" s="277"/>
    </row>
    <row r="7" spans="1:5" x14ac:dyDescent="0.35">
      <c r="A7" s="283"/>
      <c r="B7" s="280" t="s">
        <v>4</v>
      </c>
      <c r="C7" s="281"/>
    </row>
    <row r="8" spans="1:5" ht="15" thickBot="1" x14ac:dyDescent="0.4">
      <c r="A8" s="284"/>
      <c r="B8" s="270" t="str">
        <f>IF(B5=Лист1!B2,Лист1!F2,IF(B5=Лист1!B3,Лист1!F3,IF(B5=Лист1!B4,Лист1!F4,IF(паспорт!B5=Лист1!B5,Лист1!F5,IF(B5=Лист1!B6,Лист1!F6,IF(паспорт!B5=Лист1!B7,Лист1!F7,IF(B5=Лист1!B8,Лист1!F8,IF(паспорт!B5=Лист1!B9,Лист1!F9,IF(паспорт!B5=Лист1!B10,Лист1!F10,IF(B5=Лист1!B11,Лист1!F11,IF(паспорт!B5=Лист1!B12,Лист1!F12,IF(паспорт!B5=Лист1!B13,Лист1!F13,IF(B5=Лист1!B14,Лист1!F14,IF(паспорт!B5=Лист1!B15,Лист1!F15,IF(паспорт!B5=Лист1!B16,Лист1!F16,IF(паспорт!B5=Лист1!B17,Лист1!F17,IF(B5=Лист1!B18,Лист1!F18,IF(паспорт!B5=Лист1!B19,Лист1!F19,IF(паспорт!B5=Лист1!B20,Лист1!F20,IF(паспорт!B5=Лист1!B21,Лист1!F21,IF(B5=Лист1!B22,Лист1!F22,IF(паспорт!B5=Лист1!B23,Лист1!F23,IF(паспорт!B5=Лист1!B24,Лист1!F24,IF(паспорт!B5=Лист1!B25,Лист1!F25,IF(B5=Лист1!B26,Лист1!F26,IF(паспорт!B5=Лист1!B27,Лист1!F27,IF(паспорт!B5=Лист1!B28,Лист1!F28,IF(паспорт!B5=Лист1!B29,Лист1!F29,IF(B5=Лист1!B30,Лист1!F30,IF(паспорт!B5=Лист1!B31,Лист1!F31,IF(паспорт!B5=Лист1!B32,Лист1!F32,IF(паспорт!B5=Лист1!B33,Лист1!F33,IF(паспорт!B5=Лист1!B34,Лист1!F34,IF(B5=Лист1!B35,Лист1!F35,IF(паспорт!B5=Лист1!B36,Лист1!F36,IF(паспорт!B5=Лист1!B37,Лист1!F37,IF(паспорт!B5=Лист1!B38,Лист1!F38,IF(паспорт!B5=Лист1!B39,Лист1!F39,IF(B5=Лист1!B40,Лист1!F40,IF(паспорт!B5=Лист1!B41,Лист1!F41,IF(паспорт!B5=Лист1!B42,Лист1!F42,IF(паспорт!B5=Лист1!B43,Лист1!F43,IF(B5=Лист1!B44,Лист1!F44,IF(паспорт!B5=Лист1!B45,Лист1!F45,Лист1!F46))))))))))))))))))))))))))))))))))))))))))))</f>
        <v>61003, м. Харків, 
майдан Конституції, 2/2</v>
      </c>
      <c r="C8" s="271"/>
    </row>
    <row r="9" spans="1:5" x14ac:dyDescent="0.35">
      <c r="A9" s="285" t="s">
        <v>5</v>
      </c>
      <c r="B9" s="272" t="s">
        <v>6</v>
      </c>
      <c r="C9" s="273"/>
    </row>
    <row r="10" spans="1:5" ht="15" thickBot="1" x14ac:dyDescent="0.4">
      <c r="A10" s="286"/>
      <c r="B10" s="274" t="s">
        <v>107</v>
      </c>
      <c r="C10" s="275"/>
    </row>
    <row r="11" spans="1:5" ht="15" thickBot="1" x14ac:dyDescent="0.4">
      <c r="A11" s="183" t="s">
        <v>7</v>
      </c>
      <c r="B11" s="245" t="s">
        <v>8</v>
      </c>
      <c r="C11" s="246"/>
    </row>
    <row r="12" spans="1:5" ht="15" thickBot="1" x14ac:dyDescent="0.4">
      <c r="A12" s="183" t="s">
        <v>9</v>
      </c>
      <c r="B12" s="245" t="s">
        <v>10</v>
      </c>
      <c r="C12" s="246"/>
    </row>
    <row r="13" spans="1:5" ht="15" thickBot="1" x14ac:dyDescent="0.4">
      <c r="A13" s="183" t="s">
        <v>11</v>
      </c>
      <c r="B13" s="245" t="s">
        <v>12</v>
      </c>
      <c r="C13" s="246"/>
    </row>
    <row r="14" spans="1:5" ht="15.75" customHeight="1" thickBot="1" x14ac:dyDescent="0.4">
      <c r="A14" s="247" t="s">
        <v>13</v>
      </c>
      <c r="B14" s="248"/>
      <c r="C14" s="249"/>
    </row>
    <row r="15" spans="1:5" s="5" customFormat="1" ht="15.75" customHeight="1" thickBot="1" x14ac:dyDescent="0.4">
      <c r="A15" s="184" t="s">
        <v>153</v>
      </c>
      <c r="B15" s="264" t="s">
        <v>154</v>
      </c>
      <c r="C15" s="265"/>
      <c r="D15" s="76"/>
      <c r="E15" s="76"/>
    </row>
    <row r="16" spans="1:5" s="5" customFormat="1" ht="15.75" customHeight="1" thickBot="1" x14ac:dyDescent="0.4">
      <c r="A16" s="184" t="s">
        <v>155</v>
      </c>
      <c r="B16" s="266"/>
      <c r="C16" s="267"/>
      <c r="D16" s="76"/>
      <c r="E16" s="76"/>
    </row>
    <row r="17" spans="1:5" s="5" customFormat="1" ht="15.75" customHeight="1" thickBot="1" x14ac:dyDescent="0.4">
      <c r="A17" s="184" t="s">
        <v>7</v>
      </c>
      <c r="B17" s="266"/>
      <c r="C17" s="267"/>
      <c r="D17" s="76"/>
      <c r="E17" s="76"/>
    </row>
    <row r="18" spans="1:5" s="5" customFormat="1" ht="15.75" customHeight="1" thickBot="1" x14ac:dyDescent="0.4">
      <c r="A18" s="184" t="s">
        <v>9</v>
      </c>
      <c r="B18" s="266"/>
      <c r="C18" s="267"/>
      <c r="D18" s="76"/>
      <c r="E18" s="76"/>
    </row>
    <row r="19" spans="1:5" s="5" customFormat="1" ht="15.75" customHeight="1" thickBot="1" x14ac:dyDescent="0.4">
      <c r="A19" s="184" t="s">
        <v>156</v>
      </c>
      <c r="B19" s="268"/>
      <c r="C19" s="269"/>
      <c r="D19" s="76"/>
      <c r="E19" s="76"/>
    </row>
    <row r="20" spans="1:5" ht="15.75" customHeight="1" thickBot="1" x14ac:dyDescent="0.4">
      <c r="A20" s="247" t="s">
        <v>14</v>
      </c>
      <c r="B20" s="248"/>
      <c r="C20" s="249"/>
    </row>
    <row r="21" spans="1:5" ht="15" thickBot="1" x14ac:dyDescent="0.4">
      <c r="A21" s="183" t="s">
        <v>15</v>
      </c>
      <c r="B21" s="245" t="s">
        <v>72</v>
      </c>
      <c r="C21" s="246"/>
    </row>
    <row r="22" spans="1:5" ht="15" thickBot="1" x14ac:dyDescent="0.4">
      <c r="A22" s="183" t="s">
        <v>16</v>
      </c>
      <c r="B22" s="258">
        <f>графік!F7</f>
        <v>1000000</v>
      </c>
      <c r="C22" s="259"/>
    </row>
    <row r="23" spans="1:5" ht="15" thickBot="1" x14ac:dyDescent="0.4">
      <c r="A23" s="183" t="s">
        <v>150</v>
      </c>
      <c r="B23" s="245" t="str">
        <f>CONCATENATE(E23,D23)</f>
        <v>60 міс.</v>
      </c>
      <c r="C23" s="246"/>
      <c r="D23" s="76" t="s">
        <v>157</v>
      </c>
      <c r="E23" s="76">
        <f>графік!F8</f>
        <v>60</v>
      </c>
    </row>
    <row r="24" spans="1:5" s="5" customFormat="1" x14ac:dyDescent="0.35">
      <c r="A24" s="287" t="s">
        <v>17</v>
      </c>
      <c r="B24" s="237" t="s">
        <v>109</v>
      </c>
      <c r="C24" s="238"/>
      <c r="D24" s="76"/>
      <c r="E24" s="76"/>
    </row>
    <row r="25" spans="1:5" ht="15" thickBot="1" x14ac:dyDescent="0.4">
      <c r="A25" s="288"/>
      <c r="B25" s="239"/>
      <c r="C25" s="240"/>
    </row>
    <row r="26" spans="1:5" ht="27" customHeight="1" thickBot="1" x14ac:dyDescent="0.4">
      <c r="A26" s="185" t="s">
        <v>18</v>
      </c>
      <c r="B26" s="245" t="s">
        <v>110</v>
      </c>
      <c r="C26" s="246"/>
    </row>
    <row r="27" spans="1:5" ht="15" thickBot="1" x14ac:dyDescent="0.4">
      <c r="A27" s="186" t="s">
        <v>19</v>
      </c>
      <c r="B27" s="245" t="s">
        <v>124</v>
      </c>
      <c r="C27" s="246"/>
    </row>
    <row r="28" spans="1:5" ht="15" thickBot="1" x14ac:dyDescent="0.4">
      <c r="A28" s="186" t="s">
        <v>20</v>
      </c>
      <c r="B28" s="245" t="s">
        <v>21</v>
      </c>
      <c r="C28" s="246"/>
    </row>
    <row r="29" spans="1:5" ht="20.25" customHeight="1" x14ac:dyDescent="0.35">
      <c r="A29" s="282" t="s">
        <v>22</v>
      </c>
      <c r="B29" s="237" t="s">
        <v>111</v>
      </c>
      <c r="C29" s="238"/>
    </row>
    <row r="30" spans="1:5" ht="15" thickBot="1" x14ac:dyDescent="0.4">
      <c r="A30" s="283"/>
      <c r="B30" s="239"/>
      <c r="C30" s="240"/>
    </row>
    <row r="31" spans="1:5" ht="19.5" customHeight="1" thickBot="1" x14ac:dyDescent="0.4">
      <c r="A31" s="247" t="s">
        <v>152</v>
      </c>
      <c r="B31" s="248"/>
      <c r="C31" s="249"/>
    </row>
    <row r="32" spans="1:5" s="5" customFormat="1" ht="19.5" customHeight="1" thickBot="1" x14ac:dyDescent="0.4">
      <c r="A32" s="187" t="s">
        <v>539</v>
      </c>
      <c r="B32" s="262">
        <v>0</v>
      </c>
      <c r="C32" s="263"/>
      <c r="D32" s="76"/>
      <c r="E32" s="76"/>
    </row>
    <row r="33" spans="1:5" ht="19.5" customHeight="1" thickBot="1" x14ac:dyDescent="0.4">
      <c r="A33" s="187" t="s">
        <v>540</v>
      </c>
      <c r="B33" s="256">
        <f>графік!F9</f>
        <v>0.18990000000000001</v>
      </c>
      <c r="C33" s="257"/>
    </row>
    <row r="34" spans="1:5" ht="15" thickBot="1" x14ac:dyDescent="0.4">
      <c r="A34" s="186" t="s">
        <v>24</v>
      </c>
      <c r="B34" s="239" t="s">
        <v>122</v>
      </c>
      <c r="C34" s="240"/>
    </row>
    <row r="35" spans="1:5" ht="21" customHeight="1" thickBot="1" x14ac:dyDescent="0.4">
      <c r="A35" s="186" t="s">
        <v>25</v>
      </c>
      <c r="B35" s="245" t="s">
        <v>158</v>
      </c>
      <c r="C35" s="246"/>
    </row>
    <row r="36" spans="1:5" ht="23.5" thickBot="1" x14ac:dyDescent="0.4">
      <c r="A36" s="186" t="s">
        <v>26</v>
      </c>
      <c r="B36" s="245" t="s">
        <v>27</v>
      </c>
      <c r="C36" s="246"/>
    </row>
    <row r="37" spans="1:5" ht="15" thickBot="1" x14ac:dyDescent="0.4">
      <c r="A37" s="186" t="s">
        <v>105</v>
      </c>
      <c r="B37" s="256">
        <f>графік!P7</f>
        <v>0.01</v>
      </c>
      <c r="C37" s="257"/>
    </row>
    <row r="38" spans="1:5" ht="15" thickBot="1" x14ac:dyDescent="0.4">
      <c r="A38" s="186" t="s">
        <v>28</v>
      </c>
      <c r="B38" s="245" t="s">
        <v>21</v>
      </c>
      <c r="C38" s="246"/>
    </row>
    <row r="39" spans="1:5" s="5" customFormat="1" ht="15" thickBot="1" x14ac:dyDescent="0.4">
      <c r="A39" s="188" t="s">
        <v>127</v>
      </c>
      <c r="B39" s="258">
        <f>графік!P11</f>
        <v>0</v>
      </c>
      <c r="C39" s="259"/>
      <c r="D39" s="76"/>
      <c r="E39" s="76"/>
    </row>
    <row r="40" spans="1:5" ht="26.25" customHeight="1" thickBot="1" x14ac:dyDescent="0.4">
      <c r="A40" s="187" t="s">
        <v>29</v>
      </c>
      <c r="B40" s="258" t="s">
        <v>21</v>
      </c>
      <c r="C40" s="246"/>
    </row>
    <row r="41" spans="1:5" ht="15" hidden="1" thickBot="1" x14ac:dyDescent="0.4">
      <c r="A41" s="186"/>
      <c r="B41" s="189"/>
    </row>
    <row r="42" spans="1:5" s="5" customFormat="1" ht="23.5" thickBot="1" x14ac:dyDescent="0.4">
      <c r="A42" s="190" t="s">
        <v>159</v>
      </c>
      <c r="B42" s="260" t="s">
        <v>160</v>
      </c>
      <c r="C42" s="261"/>
      <c r="D42" s="76"/>
      <c r="E42" s="76"/>
    </row>
    <row r="43" spans="1:5" s="5" customFormat="1" ht="23.5" thickBot="1" x14ac:dyDescent="0.4">
      <c r="A43" s="190" t="s">
        <v>161</v>
      </c>
      <c r="B43" s="260" t="s">
        <v>162</v>
      </c>
      <c r="C43" s="261"/>
      <c r="D43" s="76"/>
      <c r="E43" s="76"/>
    </row>
    <row r="44" spans="1:5" ht="15" thickBot="1" x14ac:dyDescent="0.4">
      <c r="A44" s="186" t="s">
        <v>30</v>
      </c>
      <c r="B44" s="258">
        <f ca="1">B45-B22</f>
        <v>518543.19666666677</v>
      </c>
      <c r="C44" s="259"/>
    </row>
    <row r="45" spans="1:5" ht="35" thickBot="1" x14ac:dyDescent="0.4">
      <c r="A45" s="186" t="s">
        <v>31</v>
      </c>
      <c r="B45" s="258">
        <f ca="1">SUM('дод 1 до дог кред'!Q30:Q114)</f>
        <v>1518543.1966666668</v>
      </c>
      <c r="C45" s="259"/>
    </row>
    <row r="46" spans="1:5" ht="15" thickBot="1" x14ac:dyDescent="0.4">
      <c r="A46" s="188" t="s">
        <v>32</v>
      </c>
      <c r="B46" s="251">
        <f ca="1">SUM(графік!Q28:Q113)</f>
        <v>0.2298145353794098</v>
      </c>
      <c r="C46" s="252"/>
    </row>
    <row r="47" spans="1:5" ht="48" customHeight="1" thickBot="1" x14ac:dyDescent="0.4">
      <c r="A47" s="253" t="s">
        <v>33</v>
      </c>
      <c r="B47" s="254"/>
      <c r="C47" s="255"/>
    </row>
    <row r="48" spans="1:5" ht="24" customHeight="1" thickBot="1" x14ac:dyDescent="0.4">
      <c r="A48" s="253" t="s">
        <v>34</v>
      </c>
      <c r="B48" s="254"/>
      <c r="C48" s="255"/>
    </row>
    <row r="49" spans="1:5" ht="24" customHeight="1" thickBot="1" x14ac:dyDescent="0.4">
      <c r="A49" s="253" t="s">
        <v>35</v>
      </c>
      <c r="B49" s="254"/>
      <c r="C49" s="255"/>
    </row>
    <row r="50" spans="1:5" s="5" customFormat="1" ht="24" customHeight="1" thickBot="1" x14ac:dyDescent="0.4">
      <c r="A50" s="191" t="s">
        <v>128</v>
      </c>
      <c r="B50" s="245" t="s">
        <v>27</v>
      </c>
      <c r="C50" s="246"/>
      <c r="D50" s="76"/>
      <c r="E50" s="76"/>
    </row>
    <row r="51" spans="1:5" s="5" customFormat="1" ht="24" customHeight="1" thickBot="1" x14ac:dyDescent="0.4">
      <c r="A51" s="187" t="s">
        <v>129</v>
      </c>
      <c r="B51" s="258" t="str">
        <f>IF(D51=0,E51,CONCATENATE(E51,D51))</f>
        <v>ні</v>
      </c>
      <c r="C51" s="259"/>
      <c r="D51" s="174">
        <f>графік!I28</f>
        <v>0</v>
      </c>
      <c r="E51" s="76" t="str">
        <f>IF(D51&gt;0,"так, ","ні")</f>
        <v>ні</v>
      </c>
    </row>
    <row r="52" spans="1:5" s="5" customFormat="1" ht="24" customHeight="1" thickBot="1" x14ac:dyDescent="0.4">
      <c r="A52" s="187" t="s">
        <v>130</v>
      </c>
      <c r="B52" s="258" t="str">
        <f t="shared" ref="B52:B54" si="0">IF(D52=0,E52,CONCATENATE(E52,D52))</f>
        <v>ні</v>
      </c>
      <c r="C52" s="259"/>
      <c r="D52" s="174">
        <f>графік!J28</f>
        <v>0</v>
      </c>
      <c r="E52" s="76" t="str">
        <f>IF(D52&gt;0,"так, ","ні")</f>
        <v>ні</v>
      </c>
    </row>
    <row r="53" spans="1:5" s="5" customFormat="1" ht="24" customHeight="1" thickBot="1" x14ac:dyDescent="0.4">
      <c r="A53" s="187" t="s">
        <v>131</v>
      </c>
      <c r="B53" s="258" t="str">
        <f t="shared" si="0"/>
        <v>так, 59900</v>
      </c>
      <c r="C53" s="259"/>
      <c r="D53" s="174">
        <f>графік!Q14+графік!Q15</f>
        <v>59900</v>
      </c>
      <c r="E53" s="76" t="str">
        <f>IF(D53&gt;0,"так, ","ні")</f>
        <v xml:space="preserve">так, </v>
      </c>
    </row>
    <row r="54" spans="1:5" s="5" customFormat="1" ht="24" customHeight="1" thickBot="1" x14ac:dyDescent="0.4">
      <c r="A54" s="187" t="s">
        <v>132</v>
      </c>
      <c r="B54" s="258" t="str">
        <f t="shared" si="0"/>
        <v>ні</v>
      </c>
      <c r="C54" s="259"/>
      <c r="D54" s="174">
        <f>графік!L28</f>
        <v>0</v>
      </c>
      <c r="E54" s="76" t="str">
        <f>IF(D54&gt;0,"так, ","ні")</f>
        <v>ні</v>
      </c>
    </row>
    <row r="55" spans="1:5" ht="15" thickBot="1" x14ac:dyDescent="0.4">
      <c r="A55" s="247" t="s">
        <v>36</v>
      </c>
      <c r="B55" s="248"/>
      <c r="C55" s="249"/>
    </row>
    <row r="56" spans="1:5" ht="61.5" customHeight="1" thickBot="1" x14ac:dyDescent="0.4">
      <c r="A56" s="187" t="s">
        <v>37</v>
      </c>
      <c r="B56" s="245" t="s">
        <v>151</v>
      </c>
      <c r="C56" s="246"/>
    </row>
    <row r="57" spans="1:5" ht="15" thickBot="1" x14ac:dyDescent="0.4">
      <c r="A57" s="247" t="s">
        <v>38</v>
      </c>
      <c r="B57" s="248"/>
      <c r="C57" s="249"/>
    </row>
    <row r="58" spans="1:5" ht="15" customHeight="1" x14ac:dyDescent="0.35">
      <c r="A58" s="237" t="s">
        <v>39</v>
      </c>
      <c r="B58" s="241"/>
      <c r="C58" s="238"/>
    </row>
    <row r="59" spans="1:5" ht="3" customHeight="1" thickBot="1" x14ac:dyDescent="0.4">
      <c r="A59" s="239"/>
      <c r="B59" s="242"/>
      <c r="C59" s="240"/>
    </row>
    <row r="60" spans="1:5" ht="23.5" thickBot="1" x14ac:dyDescent="0.4">
      <c r="A60" s="186" t="s">
        <v>40</v>
      </c>
      <c r="B60" s="245" t="s">
        <v>163</v>
      </c>
      <c r="C60" s="246"/>
    </row>
    <row r="61" spans="1:5" ht="15" thickBot="1" x14ac:dyDescent="0.4">
      <c r="A61" s="186" t="s">
        <v>41</v>
      </c>
      <c r="B61" s="245" t="s">
        <v>42</v>
      </c>
      <c r="C61" s="246"/>
    </row>
    <row r="62" spans="1:5" s="5" customFormat="1" ht="15" thickBot="1" x14ac:dyDescent="0.4">
      <c r="A62" s="190" t="s">
        <v>164</v>
      </c>
      <c r="B62" s="260" t="s">
        <v>21</v>
      </c>
      <c r="C62" s="261"/>
      <c r="D62" s="76"/>
      <c r="E62" s="76"/>
    </row>
    <row r="63" spans="1:5" ht="23.5" thickBot="1" x14ac:dyDescent="0.4">
      <c r="A63" s="186" t="s">
        <v>75</v>
      </c>
      <c r="B63" s="245" t="s">
        <v>76</v>
      </c>
      <c r="C63" s="246"/>
    </row>
    <row r="64" spans="1:5" ht="15" thickBot="1" x14ac:dyDescent="0.4">
      <c r="A64" s="188" t="s">
        <v>43</v>
      </c>
      <c r="B64" s="245" t="s">
        <v>21</v>
      </c>
      <c r="C64" s="246"/>
    </row>
    <row r="65" spans="1:6" ht="15" thickBot="1" x14ac:dyDescent="0.4">
      <c r="A65" s="247" t="s">
        <v>44</v>
      </c>
      <c r="B65" s="248"/>
      <c r="C65" s="249"/>
    </row>
    <row r="66" spans="1:6" ht="36" customHeight="1" thickBot="1" x14ac:dyDescent="0.4">
      <c r="A66" s="245" t="s">
        <v>45</v>
      </c>
      <c r="B66" s="250"/>
      <c r="C66" s="246"/>
    </row>
    <row r="67" spans="1:6" ht="46.5" thickBot="1" x14ac:dyDescent="0.4">
      <c r="A67" s="187" t="s">
        <v>46</v>
      </c>
      <c r="B67" s="245" t="s">
        <v>121</v>
      </c>
      <c r="C67" s="246"/>
    </row>
    <row r="68" spans="1:6" ht="36" customHeight="1" thickBot="1" x14ac:dyDescent="0.4">
      <c r="A68" s="245" t="s">
        <v>47</v>
      </c>
      <c r="B68" s="250"/>
      <c r="C68" s="246"/>
    </row>
    <row r="69" spans="1:6" ht="36" customHeight="1" thickBot="1" x14ac:dyDescent="0.4">
      <c r="A69" s="245" t="s">
        <v>48</v>
      </c>
      <c r="B69" s="250"/>
      <c r="C69" s="246"/>
    </row>
    <row r="70" spans="1:6" ht="15" customHeight="1" x14ac:dyDescent="0.35">
      <c r="A70" s="287" t="str">
        <f ca="1">CONCATENATE(E70,TEXT(D70,"dd.mm.yyyy"))</f>
        <v>Дата надання інформації: 01.02.2021</v>
      </c>
      <c r="B70" s="237" t="str">
        <f ca="1">CONCATENATE(E71,TEXT(D71,"dd.mm.yyyy"))</f>
        <v>Ця інформація зберігає чинність та є актуальною до 31.01.2026</v>
      </c>
      <c r="C70" s="238"/>
      <c r="D70" s="210">
        <f ca="1">TODAY()</f>
        <v>44228</v>
      </c>
      <c r="E70" s="76" t="s">
        <v>528</v>
      </c>
      <c r="F70" s="171"/>
    </row>
    <row r="71" spans="1:6" ht="15" thickBot="1" x14ac:dyDescent="0.4">
      <c r="A71" s="288"/>
      <c r="B71" s="239"/>
      <c r="C71" s="240"/>
      <c r="D71" s="210">
        <f ca="1">EDATE(D70,графік!F8)-1</f>
        <v>46053</v>
      </c>
      <c r="E71" s="236" t="s">
        <v>529</v>
      </c>
      <c r="F71" s="171"/>
    </row>
    <row r="72" spans="1:6" x14ac:dyDescent="0.35">
      <c r="A72" s="192"/>
      <c r="B72" s="237" t="s">
        <v>50</v>
      </c>
      <c r="C72" s="238"/>
      <c r="E72" s="236"/>
      <c r="F72" s="171"/>
    </row>
    <row r="73" spans="1:6" ht="15" thickBot="1" x14ac:dyDescent="0.4">
      <c r="A73" s="193" t="s">
        <v>49</v>
      </c>
      <c r="B73" s="239"/>
      <c r="C73" s="240"/>
      <c r="F73" s="171"/>
    </row>
    <row r="74" spans="1:6" ht="24" customHeight="1" thickBot="1" x14ac:dyDescent="0.4">
      <c r="A74" s="245" t="s">
        <v>51</v>
      </c>
      <c r="B74" s="250"/>
      <c r="C74" s="246"/>
    </row>
    <row r="75" spans="1:6" ht="48" customHeight="1" thickBot="1" x14ac:dyDescent="0.4">
      <c r="A75" s="245" t="s">
        <v>52</v>
      </c>
      <c r="B75" s="250"/>
      <c r="C75" s="246"/>
    </row>
    <row r="76" spans="1:6" x14ac:dyDescent="0.35">
      <c r="A76" s="194"/>
      <c r="B76" s="237" t="s">
        <v>54</v>
      </c>
      <c r="C76" s="238"/>
    </row>
    <row r="77" spans="1:6" ht="15" thickBot="1" x14ac:dyDescent="0.4">
      <c r="A77" s="193" t="s">
        <v>53</v>
      </c>
      <c r="B77" s="239"/>
      <c r="C77" s="240"/>
    </row>
    <row r="78" spans="1:6" x14ac:dyDescent="0.35">
      <c r="A78" s="195"/>
    </row>
  </sheetData>
  <mergeCells count="72">
    <mergeCell ref="B72:C73"/>
    <mergeCell ref="A74:C74"/>
    <mergeCell ref="A75:C75"/>
    <mergeCell ref="B56:C56"/>
    <mergeCell ref="A57:C57"/>
    <mergeCell ref="A70:A71"/>
    <mergeCell ref="A68:C68"/>
    <mergeCell ref="A69:C69"/>
    <mergeCell ref="B70:C71"/>
    <mergeCell ref="B62:C62"/>
    <mergeCell ref="A3:A5"/>
    <mergeCell ref="A6:A8"/>
    <mergeCell ref="A9:A10"/>
    <mergeCell ref="A29:A30"/>
    <mergeCell ref="A24:A25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A14:C14"/>
    <mergeCell ref="A20:C20"/>
    <mergeCell ref="B21:C21"/>
    <mergeCell ref="B22:C22"/>
    <mergeCell ref="B15:C19"/>
    <mergeCell ref="B23:C23"/>
    <mergeCell ref="B24:C25"/>
    <mergeCell ref="B26:C26"/>
    <mergeCell ref="B27:C27"/>
    <mergeCell ref="B28:C28"/>
    <mergeCell ref="B29:C30"/>
    <mergeCell ref="A31:C31"/>
    <mergeCell ref="B34:C34"/>
    <mergeCell ref="B35:C35"/>
    <mergeCell ref="B36:C36"/>
    <mergeCell ref="B33:C33"/>
    <mergeCell ref="B32:C32"/>
    <mergeCell ref="B50:C50"/>
    <mergeCell ref="B51:C51"/>
    <mergeCell ref="B52:C52"/>
    <mergeCell ref="B53:C53"/>
    <mergeCell ref="B54:C54"/>
    <mergeCell ref="B37:C37"/>
    <mergeCell ref="B38:C38"/>
    <mergeCell ref="B40:C40"/>
    <mergeCell ref="B44:C44"/>
    <mergeCell ref="B45:C45"/>
    <mergeCell ref="B39:C39"/>
    <mergeCell ref="B42:C42"/>
    <mergeCell ref="B43:C43"/>
    <mergeCell ref="E71:E72"/>
    <mergeCell ref="B76:C77"/>
    <mergeCell ref="A58:C59"/>
    <mergeCell ref="A2:C2"/>
    <mergeCell ref="B63:C63"/>
    <mergeCell ref="B64:C64"/>
    <mergeCell ref="A65:C65"/>
    <mergeCell ref="A66:C66"/>
    <mergeCell ref="B67:C67"/>
    <mergeCell ref="B60:C60"/>
    <mergeCell ref="B61:C61"/>
    <mergeCell ref="B46:C46"/>
    <mergeCell ref="A47:C47"/>
    <mergeCell ref="A48:C48"/>
    <mergeCell ref="A49:C49"/>
    <mergeCell ref="A55:C55"/>
  </mergeCells>
  <hyperlinks>
    <hyperlink ref="B12" r:id="rId1" display="mailto:bank@pravex.kiev.ua"/>
  </hyperlinks>
  <pageMargins left="0.7" right="0.7" top="0.75" bottom="0.75" header="0.3" footer="0.3"/>
  <pageSetup paperSize="9" scale="90" fitToHeight="0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Лист1!$B$2:$B$46</xm:f>
          </x14:formula1>
          <xm:sqref>B5:C5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284"/>
  <sheetViews>
    <sheetView tabSelected="1" zoomScale="60" zoomScaleNormal="60" workbookViewId="0">
      <selection activeCell="P18" sqref="P18:Q18"/>
    </sheetView>
  </sheetViews>
  <sheetFormatPr defaultRowHeight="14.5" x14ac:dyDescent="0.35"/>
  <cols>
    <col min="1" max="1" width="4.26953125" customWidth="1"/>
    <col min="2" max="2" width="24.81640625" hidden="1" customWidth="1"/>
    <col min="3" max="3" width="23.1796875" style="5" customWidth="1"/>
    <col min="4" max="4" width="12" customWidth="1"/>
    <col min="5" max="5" width="15.81640625" hidden="1" customWidth="1"/>
    <col min="6" max="6" width="14.7265625" customWidth="1"/>
    <col min="7" max="7" width="13.26953125" customWidth="1"/>
    <col min="8" max="8" width="20.54296875" customWidth="1"/>
    <col min="9" max="9" width="13.54296875" style="5" customWidth="1"/>
    <col min="10" max="10" width="12.7265625" style="5" customWidth="1"/>
    <col min="11" max="11" width="14.54296875" style="5" customWidth="1"/>
    <col min="12" max="12" width="12.26953125" style="5" customWidth="1"/>
    <col min="13" max="13" width="15.7265625" customWidth="1"/>
    <col min="14" max="14" width="15.7265625" style="5" customWidth="1"/>
    <col min="15" max="15" width="23.36328125" style="5" customWidth="1"/>
    <col min="16" max="16" width="16" style="5" customWidth="1"/>
    <col min="17" max="17" width="12.26953125" customWidth="1"/>
    <col min="18" max="18" width="12" customWidth="1"/>
    <col min="19" max="19" width="12" style="5" hidden="1" customWidth="1"/>
    <col min="20" max="22" width="9.1796875" hidden="1" customWidth="1"/>
    <col min="23" max="23" width="10.81640625" hidden="1" customWidth="1"/>
    <col min="24" max="24" width="9.1796875" hidden="1" customWidth="1"/>
    <col min="25" max="25" width="0" hidden="1" customWidth="1"/>
    <col min="26" max="27" width="9.1796875" hidden="1" customWidth="1"/>
    <col min="28" max="28" width="20.54296875" hidden="1" customWidth="1"/>
    <col min="29" max="30" width="9.1796875" hidden="1" customWidth="1"/>
    <col min="31" max="31" width="8.7265625" hidden="1" customWidth="1"/>
    <col min="32" max="32" width="10.54296875" hidden="1" customWidth="1"/>
  </cols>
  <sheetData>
    <row r="1" spans="1:32" s="2" customFormat="1" x14ac:dyDescent="0.35">
      <c r="A1" s="315" t="s">
        <v>104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211"/>
    </row>
    <row r="2" spans="1:32" s="1" customFormat="1" x14ac:dyDescent="0.35">
      <c r="A2" s="8"/>
      <c r="B2" s="8"/>
      <c r="C2" s="10"/>
      <c r="D2" s="8"/>
      <c r="E2" s="8"/>
      <c r="F2" s="10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32" x14ac:dyDescent="0.35">
      <c r="A3" s="8"/>
      <c r="B3" s="7" t="s">
        <v>55</v>
      </c>
      <c r="C3" s="155" t="s">
        <v>55</v>
      </c>
      <c r="D3" s="156">
        <f ca="1">F3</f>
        <v>44228</v>
      </c>
      <c r="E3" s="73"/>
      <c r="F3" s="229">
        <f ca="1">TODAY()</f>
        <v>44228</v>
      </c>
      <c r="G3" s="9"/>
      <c r="H3" s="317"/>
      <c r="I3" s="317"/>
      <c r="J3" s="317"/>
      <c r="K3" s="317"/>
      <c r="L3" s="317"/>
      <c r="M3" s="317"/>
      <c r="N3" s="133"/>
      <c r="O3" s="133"/>
      <c r="P3" s="128"/>
      <c r="Q3" s="78"/>
      <c r="R3" s="8"/>
      <c r="S3" s="8"/>
    </row>
    <row r="4" spans="1:32" hidden="1" x14ac:dyDescent="0.35">
      <c r="A4" s="8"/>
      <c r="B4" s="7" t="s">
        <v>60</v>
      </c>
      <c r="C4" s="157" t="s">
        <v>60</v>
      </c>
      <c r="D4" s="89">
        <f t="shared" ref="D4:D9" si="0">F4</f>
        <v>1000000</v>
      </c>
      <c r="E4" s="73"/>
      <c r="F4" s="158">
        <v>1000000</v>
      </c>
      <c r="G4" s="10"/>
      <c r="H4" s="318"/>
      <c r="I4" s="318"/>
      <c r="J4" s="318"/>
      <c r="K4" s="318"/>
      <c r="L4" s="318"/>
      <c r="M4" s="318"/>
      <c r="N4" s="134"/>
      <c r="O4" s="134"/>
      <c r="P4" s="129"/>
      <c r="Q4" s="79"/>
      <c r="R4" s="8"/>
      <c r="S4" s="8"/>
    </row>
    <row r="5" spans="1:32" hidden="1" x14ac:dyDescent="0.35">
      <c r="A5" s="8"/>
      <c r="B5" s="7" t="s">
        <v>59</v>
      </c>
      <c r="C5" s="159" t="s">
        <v>59</v>
      </c>
      <c r="D5" s="74">
        <f t="shared" si="0"/>
        <v>500000</v>
      </c>
      <c r="E5" s="73"/>
      <c r="F5" s="160">
        <v>500000</v>
      </c>
      <c r="G5" s="11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8"/>
      <c r="S5" s="8"/>
    </row>
    <row r="6" spans="1:32" s="2" customFormat="1" hidden="1" x14ac:dyDescent="0.35">
      <c r="A6" s="8"/>
      <c r="B6" s="7" t="s">
        <v>61</v>
      </c>
      <c r="C6" s="161" t="s">
        <v>61</v>
      </c>
      <c r="D6" s="88">
        <f t="shared" si="0"/>
        <v>0.5</v>
      </c>
      <c r="E6" s="95"/>
      <c r="F6" s="230">
        <f>F5/F4</f>
        <v>0.5</v>
      </c>
      <c r="G6" s="12"/>
      <c r="H6" s="318"/>
      <c r="I6" s="318"/>
      <c r="J6" s="318"/>
      <c r="K6" s="318"/>
      <c r="L6" s="318"/>
      <c r="M6" s="318"/>
      <c r="N6" s="134"/>
      <c r="O6" s="134"/>
      <c r="P6" s="129"/>
      <c r="Q6" s="72"/>
      <c r="R6" s="8"/>
      <c r="S6" s="8"/>
    </row>
    <row r="7" spans="1:32" x14ac:dyDescent="0.35">
      <c r="A7" s="8"/>
      <c r="B7" s="7" t="s">
        <v>58</v>
      </c>
      <c r="C7" s="163" t="s">
        <v>58</v>
      </c>
      <c r="D7" s="90">
        <f t="shared" si="0"/>
        <v>1000000</v>
      </c>
      <c r="E7" s="97"/>
      <c r="F7" s="167">
        <v>1000000</v>
      </c>
      <c r="G7" s="12"/>
      <c r="H7" s="148" t="s">
        <v>534</v>
      </c>
      <c r="I7" s="147"/>
      <c r="J7" s="147"/>
      <c r="K7" s="147"/>
      <c r="L7" s="147"/>
      <c r="M7" s="147"/>
      <c r="N7" s="147"/>
      <c r="O7" s="147"/>
      <c r="P7" s="319">
        <v>0.01</v>
      </c>
      <c r="Q7" s="320"/>
      <c r="R7" s="170"/>
      <c r="S7" s="170"/>
      <c r="T7" s="171"/>
      <c r="U7" s="171"/>
      <c r="V7" s="171"/>
      <c r="W7" s="171"/>
      <c r="X7" s="171"/>
      <c r="Y7" s="171"/>
      <c r="AB7" t="s">
        <v>115</v>
      </c>
      <c r="AE7" s="5">
        <v>1</v>
      </c>
      <c r="AF7" s="216">
        <v>2181</v>
      </c>
    </row>
    <row r="8" spans="1:32" x14ac:dyDescent="0.35">
      <c r="A8" s="8"/>
      <c r="B8" s="7" t="s">
        <v>57</v>
      </c>
      <c r="C8" s="164" t="s">
        <v>57</v>
      </c>
      <c r="D8" s="91">
        <f t="shared" si="0"/>
        <v>60</v>
      </c>
      <c r="E8" s="96"/>
      <c r="F8" s="168">
        <v>60</v>
      </c>
      <c r="G8" s="12"/>
      <c r="H8" s="148" t="s">
        <v>71</v>
      </c>
      <c r="I8" s="149"/>
      <c r="J8" s="149"/>
      <c r="K8" s="149"/>
      <c r="L8" s="149"/>
      <c r="M8" s="149"/>
      <c r="N8" s="149"/>
      <c r="O8" s="149"/>
      <c r="P8" s="297">
        <f>P7*F7</f>
        <v>10000</v>
      </c>
      <c r="Q8" s="298"/>
      <c r="R8" s="172"/>
      <c r="S8" s="172"/>
      <c r="T8" s="171"/>
      <c r="U8" s="171" t="s">
        <v>102</v>
      </c>
      <c r="V8" s="171"/>
      <c r="W8" s="171"/>
      <c r="X8" s="171"/>
      <c r="Y8" s="173">
        <f>P8</f>
        <v>10000</v>
      </c>
      <c r="AB8" s="8" t="s">
        <v>116</v>
      </c>
      <c r="AC8" s="5" t="s">
        <v>77</v>
      </c>
      <c r="AD8" s="5">
        <v>1700</v>
      </c>
      <c r="AE8" s="217">
        <v>2</v>
      </c>
      <c r="AF8" s="218">
        <f>IF($F$8&gt;12,$P$17,0)</f>
        <v>2500</v>
      </c>
    </row>
    <row r="9" spans="1:32" ht="15" customHeight="1" x14ac:dyDescent="0.35">
      <c r="A9" s="8"/>
      <c r="B9" s="7" t="s">
        <v>56</v>
      </c>
      <c r="C9" s="165" t="s">
        <v>56</v>
      </c>
      <c r="D9" s="166">
        <f t="shared" si="0"/>
        <v>0.18990000000000001</v>
      </c>
      <c r="E9" s="73"/>
      <c r="F9" s="235">
        <v>0.18990000000000001</v>
      </c>
      <c r="G9" s="18">
        <f>F21+F22</f>
        <v>0.1888</v>
      </c>
      <c r="H9" s="150" t="s">
        <v>123</v>
      </c>
      <c r="I9" s="151"/>
      <c r="J9" s="151"/>
      <c r="K9" s="151"/>
      <c r="L9" s="151"/>
      <c r="M9" s="151"/>
      <c r="N9" s="151"/>
      <c r="O9" s="151"/>
      <c r="P9" s="297">
        <v>0</v>
      </c>
      <c r="Q9" s="298"/>
      <c r="R9" s="174">
        <f>P9</f>
        <v>0</v>
      </c>
      <c r="S9" s="174"/>
      <c r="T9" s="171"/>
      <c r="U9" s="171" t="s">
        <v>103</v>
      </c>
      <c r="V9" s="171"/>
      <c r="W9" s="171"/>
      <c r="X9" s="171"/>
      <c r="Y9" s="171"/>
      <c r="AE9" s="217">
        <v>3</v>
      </c>
      <c r="AF9" s="218">
        <f>IF($F$8&gt;24,$P$17,0)</f>
        <v>2500</v>
      </c>
    </row>
    <row r="10" spans="1:32" s="5" customFormat="1" ht="15" customHeight="1" x14ac:dyDescent="0.35">
      <c r="A10" s="8"/>
      <c r="B10" s="7"/>
      <c r="C10" s="159" t="s">
        <v>538</v>
      </c>
      <c r="D10" s="231"/>
      <c r="E10" s="73"/>
      <c r="F10" s="232">
        <v>0</v>
      </c>
      <c r="G10" s="18"/>
      <c r="H10" s="292" t="s">
        <v>139</v>
      </c>
      <c r="I10" s="293"/>
      <c r="J10" s="293"/>
      <c r="K10" s="293"/>
      <c r="L10" s="293"/>
      <c r="M10" s="294"/>
      <c r="N10" s="141"/>
      <c r="O10" s="141"/>
      <c r="P10" s="295">
        <v>0</v>
      </c>
      <c r="Q10" s="296"/>
      <c r="R10" s="76"/>
      <c r="S10" s="76"/>
      <c r="T10" s="171"/>
      <c r="U10" s="171"/>
      <c r="V10" s="171"/>
      <c r="W10" s="171"/>
      <c r="X10" s="171"/>
      <c r="Y10" s="171"/>
      <c r="AE10" s="217">
        <v>4</v>
      </c>
      <c r="AF10" s="218">
        <f>IF($F$8&gt;36,$P$17,0)</f>
        <v>2500</v>
      </c>
    </row>
    <row r="11" spans="1:32" s="5" customFormat="1" ht="15" customHeight="1" x14ac:dyDescent="0.35">
      <c r="A11" s="8"/>
      <c r="B11" s="7"/>
      <c r="C11" s="153"/>
      <c r="D11" s="135"/>
      <c r="E11" s="10"/>
      <c r="F11" s="154"/>
      <c r="G11" s="18"/>
      <c r="H11" s="292" t="s">
        <v>140</v>
      </c>
      <c r="I11" s="293"/>
      <c r="J11" s="293"/>
      <c r="K11" s="293"/>
      <c r="L11" s="293"/>
      <c r="M11" s="294"/>
      <c r="N11" s="141"/>
      <c r="O11" s="141"/>
      <c r="P11" s="297">
        <f>F7*P10</f>
        <v>0</v>
      </c>
      <c r="Q11" s="298"/>
      <c r="R11" s="174">
        <f>P11</f>
        <v>0</v>
      </c>
      <c r="S11" s="174"/>
      <c r="T11" s="171"/>
      <c r="U11" s="171"/>
      <c r="V11" s="171"/>
      <c r="W11" s="171"/>
      <c r="X11" s="171"/>
      <c r="Y11" s="171"/>
      <c r="AE11" s="217">
        <v>5</v>
      </c>
      <c r="AF11" s="218">
        <f>IF($F$8&gt;48,$P$17,0)</f>
        <v>2500</v>
      </c>
    </row>
    <row r="12" spans="1:32" s="5" customFormat="1" ht="15" customHeight="1" x14ac:dyDescent="0.35">
      <c r="A12" s="8"/>
      <c r="B12" s="7"/>
      <c r="C12" s="153"/>
      <c r="D12" s="135"/>
      <c r="E12" s="10"/>
      <c r="F12" s="154"/>
      <c r="G12" s="18"/>
      <c r="H12" s="299" t="s">
        <v>133</v>
      </c>
      <c r="I12" s="142" t="s">
        <v>141</v>
      </c>
      <c r="J12" s="143"/>
      <c r="K12" s="143"/>
      <c r="L12" s="143"/>
      <c r="M12" s="144"/>
      <c r="N12" s="141"/>
      <c r="O12" s="141"/>
      <c r="P12" s="301">
        <v>0</v>
      </c>
      <c r="Q12" s="302"/>
      <c r="R12" s="174">
        <f>P12</f>
        <v>0</v>
      </c>
      <c r="S12" s="174"/>
      <c r="T12" s="171"/>
      <c r="U12" s="171"/>
      <c r="V12" s="171"/>
      <c r="W12" s="171"/>
      <c r="X12" s="171"/>
      <c r="Y12" s="171"/>
      <c r="AF12" s="216">
        <f>SUM(AF7:AF11)</f>
        <v>12181</v>
      </c>
    </row>
    <row r="13" spans="1:32" s="5" customFormat="1" ht="15" customHeight="1" x14ac:dyDescent="0.35">
      <c r="A13" s="8"/>
      <c r="B13" s="7"/>
      <c r="C13" s="153"/>
      <c r="D13" s="135"/>
      <c r="E13" s="10"/>
      <c r="F13" s="154"/>
      <c r="G13" s="18"/>
      <c r="H13" s="300"/>
      <c r="I13" s="145" t="s">
        <v>142</v>
      </c>
      <c r="J13" s="143"/>
      <c r="K13" s="143"/>
      <c r="L13" s="143"/>
      <c r="M13" s="144"/>
      <c r="N13" s="141"/>
      <c r="O13" s="141"/>
      <c r="P13" s="301">
        <v>0</v>
      </c>
      <c r="Q13" s="302"/>
      <c r="R13" s="174">
        <f>P13</f>
        <v>0</v>
      </c>
      <c r="S13" s="174"/>
      <c r="T13" s="171"/>
      <c r="U13" s="171"/>
      <c r="V13" s="171"/>
      <c r="W13" s="171"/>
      <c r="X13" s="171"/>
      <c r="Y13" s="171"/>
    </row>
    <row r="14" spans="1:32" s="5" customFormat="1" ht="15" customHeight="1" x14ac:dyDescent="0.35">
      <c r="A14" s="8"/>
      <c r="B14" s="7"/>
      <c r="C14" s="153"/>
      <c r="D14" s="135"/>
      <c r="E14" s="10"/>
      <c r="F14" s="154"/>
      <c r="G14" s="18"/>
      <c r="H14" s="300"/>
      <c r="I14" s="145" t="s">
        <v>143</v>
      </c>
      <c r="J14" s="143"/>
      <c r="K14" s="143"/>
      <c r="L14" s="143"/>
      <c r="M14" s="144"/>
      <c r="N14" s="303" t="s">
        <v>535</v>
      </c>
      <c r="O14" s="304"/>
      <c r="P14" s="234">
        <v>5.9900000000000002E-2</v>
      </c>
      <c r="Q14" s="233">
        <f>F7*P14</f>
        <v>59900</v>
      </c>
      <c r="R14" s="174">
        <f>Q14</f>
        <v>59900</v>
      </c>
      <c r="S14" s="174"/>
      <c r="T14" s="171"/>
      <c r="U14" s="171"/>
      <c r="V14" s="171"/>
      <c r="W14" s="171"/>
      <c r="X14" s="171"/>
      <c r="Y14" s="171"/>
    </row>
    <row r="15" spans="1:32" s="5" customFormat="1" ht="15" customHeight="1" x14ac:dyDescent="0.35">
      <c r="A15" s="8"/>
      <c r="B15" s="7"/>
      <c r="C15" s="153"/>
      <c r="D15" s="135"/>
      <c r="E15" s="10"/>
      <c r="F15" s="154"/>
      <c r="G15" s="18"/>
      <c r="H15" s="300"/>
      <c r="I15" s="145"/>
      <c r="J15" s="143"/>
      <c r="K15" s="143"/>
      <c r="L15" s="143"/>
      <c r="M15" s="144"/>
      <c r="N15" s="303" t="s">
        <v>145</v>
      </c>
      <c r="O15" s="304"/>
      <c r="P15" s="234">
        <v>0</v>
      </c>
      <c r="Q15" s="233">
        <f>F7*P15</f>
        <v>0</v>
      </c>
      <c r="R15" s="174">
        <f>Q15</f>
        <v>0</v>
      </c>
      <c r="S15" s="174"/>
      <c r="T15" s="171"/>
      <c r="U15" s="171"/>
      <c r="V15" s="171"/>
      <c r="W15" s="171"/>
      <c r="X15" s="171"/>
      <c r="Y15" s="171"/>
    </row>
    <row r="16" spans="1:32" s="5" customFormat="1" ht="15" customHeight="1" x14ac:dyDescent="0.35">
      <c r="A16" s="8"/>
      <c r="B16" s="7"/>
      <c r="C16" s="153"/>
      <c r="D16" s="135"/>
      <c r="E16" s="10"/>
      <c r="F16" s="154"/>
      <c r="G16" s="18"/>
      <c r="H16" s="300"/>
      <c r="I16" s="145" t="s">
        <v>146</v>
      </c>
      <c r="J16" s="219"/>
      <c r="K16" s="219"/>
      <c r="L16" s="219"/>
      <c r="M16" s="220"/>
      <c r="N16" s="141"/>
      <c r="O16" s="141"/>
      <c r="P16" s="301">
        <v>0</v>
      </c>
      <c r="Q16" s="302"/>
      <c r="R16" s="174">
        <f>P16</f>
        <v>0</v>
      </c>
      <c r="S16" s="174"/>
      <c r="T16" s="171"/>
      <c r="U16" s="171"/>
      <c r="V16" s="171"/>
      <c r="W16" s="171"/>
      <c r="X16" s="171"/>
      <c r="Y16" s="171"/>
    </row>
    <row r="17" spans="1:30" s="5" customFormat="1" ht="15" customHeight="1" x14ac:dyDescent="0.35">
      <c r="A17" s="8"/>
      <c r="B17" s="7"/>
      <c r="C17" s="153"/>
      <c r="D17" s="135"/>
      <c r="E17" s="10"/>
      <c r="F17" s="154"/>
      <c r="G17" s="18"/>
      <c r="H17" s="308" t="s">
        <v>147</v>
      </c>
      <c r="I17" s="224"/>
      <c r="J17" s="224"/>
      <c r="K17" s="224"/>
      <c r="L17" s="224"/>
      <c r="M17" s="225"/>
      <c r="N17" s="305" t="s">
        <v>536</v>
      </c>
      <c r="O17" s="306"/>
      <c r="P17" s="307">
        <v>2500</v>
      </c>
      <c r="Q17" s="307"/>
      <c r="R17" s="174">
        <f>P17</f>
        <v>2500</v>
      </c>
      <c r="S17" s="174"/>
      <c r="T17" s="171"/>
      <c r="U17" s="171"/>
      <c r="V17" s="171"/>
      <c r="W17" s="171"/>
      <c r="X17" s="171"/>
      <c r="Y17" s="171"/>
    </row>
    <row r="18" spans="1:30" s="5" customFormat="1" ht="15" customHeight="1" x14ac:dyDescent="0.35">
      <c r="A18" s="8"/>
      <c r="B18" s="7"/>
      <c r="C18" s="113"/>
      <c r="D18" s="135"/>
      <c r="E18" s="10"/>
      <c r="F18" s="136"/>
      <c r="G18" s="18"/>
      <c r="H18" s="309"/>
      <c r="I18" s="226"/>
      <c r="J18" s="226"/>
      <c r="K18" s="226"/>
      <c r="L18" s="226"/>
      <c r="M18" s="227"/>
      <c r="N18" s="310" t="s">
        <v>537</v>
      </c>
      <c r="O18" s="311"/>
      <c r="P18" s="307">
        <f>AF12</f>
        <v>12181</v>
      </c>
      <c r="Q18" s="307"/>
      <c r="R18" s="8"/>
      <c r="S18" s="8"/>
    </row>
    <row r="19" spans="1:30" ht="15" hidden="1" customHeight="1" x14ac:dyDescent="0.35">
      <c r="A19" s="8"/>
      <c r="B19" s="8"/>
      <c r="C19" s="113"/>
      <c r="D19" s="75">
        <f ca="1">EDATE(D3,F8)</f>
        <v>46054</v>
      </c>
      <c r="E19" s="10"/>
      <c r="F19" s="93"/>
      <c r="G19" s="13"/>
      <c r="H19" s="221"/>
      <c r="I19" s="222"/>
      <c r="J19" s="222"/>
      <c r="K19" s="222"/>
      <c r="L19" s="222"/>
      <c r="M19" s="223"/>
      <c r="N19" s="102"/>
      <c r="O19" s="102"/>
      <c r="P19" s="102"/>
      <c r="Q19" s="103"/>
      <c r="R19" s="13"/>
      <c r="S19" s="13"/>
      <c r="T19" s="6"/>
      <c r="AD19" s="5">
        <f>F4/AD8</f>
        <v>588.23529411764707</v>
      </c>
    </row>
    <row r="20" spans="1:30" s="5" customFormat="1" ht="15" hidden="1" customHeight="1" x14ac:dyDescent="0.35">
      <c r="A20" s="8"/>
      <c r="B20" s="8"/>
      <c r="C20" s="111" t="s">
        <v>74</v>
      </c>
      <c r="D20" s="312" t="str">
        <f>F23</f>
        <v xml:space="preserve">Фіксова на весь строк </v>
      </c>
      <c r="E20" s="313"/>
      <c r="F20" s="314"/>
      <c r="G20" s="114"/>
      <c r="H20" s="116" t="s">
        <v>112</v>
      </c>
      <c r="I20" s="138"/>
      <c r="J20" s="138"/>
      <c r="K20" s="138"/>
      <c r="L20" s="138"/>
      <c r="M20" s="117"/>
      <c r="N20" s="117"/>
      <c r="O20" s="117"/>
      <c r="P20" s="117"/>
      <c r="Q20" s="123"/>
      <c r="R20" s="122"/>
      <c r="S20" s="115"/>
      <c r="T20" s="6"/>
    </row>
    <row r="21" spans="1:30" s="3" customFormat="1" ht="15" hidden="1" customHeight="1" x14ac:dyDescent="0.35">
      <c r="A21" s="8"/>
      <c r="B21" s="8"/>
      <c r="C21" s="111" t="s">
        <v>114</v>
      </c>
      <c r="D21" s="98"/>
      <c r="E21" s="94"/>
      <c r="F21" s="99">
        <v>0.1588</v>
      </c>
      <c r="G21" s="115"/>
      <c r="H21" s="120" t="s">
        <v>113</v>
      </c>
      <c r="I21" s="139"/>
      <c r="J21" s="139"/>
      <c r="K21" s="139"/>
      <c r="L21" s="139"/>
      <c r="M21" s="118"/>
      <c r="N21" s="118"/>
      <c r="O21" s="118"/>
      <c r="P21" s="118"/>
      <c r="Q21" s="121">
        <f>IF(M21="наявне",F7*F8*0.12%,0)</f>
        <v>0</v>
      </c>
      <c r="R21" s="122"/>
      <c r="S21" s="115"/>
      <c r="T21" s="6"/>
    </row>
    <row r="22" spans="1:30" s="5" customFormat="1" ht="15" hidden="1" customHeight="1" x14ac:dyDescent="0.35">
      <c r="A22" s="87"/>
      <c r="B22" s="8"/>
      <c r="C22" s="112" t="s">
        <v>73</v>
      </c>
      <c r="D22" s="100"/>
      <c r="E22" s="100"/>
      <c r="F22" s="101">
        <v>0.03</v>
      </c>
      <c r="G22" s="92"/>
      <c r="H22" s="92"/>
      <c r="I22" s="92"/>
      <c r="J22" s="92"/>
      <c r="K22" s="92"/>
      <c r="L22" s="92"/>
      <c r="M22" s="119"/>
      <c r="N22" s="119"/>
      <c r="O22" s="119"/>
      <c r="P22" s="119"/>
      <c r="Q22" s="119"/>
      <c r="R22" s="14"/>
      <c r="S22" s="14"/>
      <c r="T22" s="4"/>
    </row>
    <row r="23" spans="1:30" s="5" customFormat="1" ht="15" hidden="1" customHeight="1" x14ac:dyDescent="0.35">
      <c r="A23" s="8"/>
      <c r="B23" s="8"/>
      <c r="C23" s="86" t="s">
        <v>74</v>
      </c>
      <c r="D23" s="8"/>
      <c r="E23" s="8"/>
      <c r="F23" s="71" t="str">
        <f>IF(F8&gt;60,EDATE(F3,60),"Фіксова на весь строк ")</f>
        <v xml:space="preserve">Фіксова на весь строк 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4"/>
    </row>
    <row r="24" spans="1:30" ht="15" hidden="1" customHeight="1" x14ac:dyDescent="0.35">
      <c r="A24" s="8"/>
      <c r="B24" s="8"/>
      <c r="C24" s="76" t="s">
        <v>108</v>
      </c>
      <c r="D24" s="76"/>
      <c r="E24" s="76"/>
      <c r="F24" s="77">
        <f>F21+F22</f>
        <v>0.1888</v>
      </c>
      <c r="G24" s="13"/>
      <c r="H24" s="84"/>
      <c r="I24" s="140"/>
      <c r="J24" s="140"/>
      <c r="K24" s="140"/>
      <c r="L24" s="140"/>
      <c r="M24" s="13"/>
      <c r="N24" s="13"/>
      <c r="O24" s="13"/>
      <c r="P24" s="13"/>
      <c r="Q24" s="82"/>
      <c r="R24" s="13"/>
      <c r="S24" s="13"/>
      <c r="T24" s="6"/>
      <c r="AD24" t="str">
        <f>IF(AD19&lt;165,"3%",IF(AD19&gt;290,"5%","4%"))</f>
        <v>5%</v>
      </c>
    </row>
    <row r="25" spans="1:30" s="3" customFormat="1" ht="15" customHeight="1" thickBot="1" x14ac:dyDescent="0.4">
      <c r="A25" s="85"/>
      <c r="B25" s="8"/>
      <c r="C25" s="85"/>
      <c r="D25" s="85"/>
      <c r="E25" s="8"/>
      <c r="F25" s="8"/>
      <c r="G25" s="81"/>
      <c r="H25" s="83"/>
      <c r="I25" s="81"/>
      <c r="J25" s="81"/>
      <c r="K25" s="81"/>
      <c r="L25" s="81"/>
      <c r="M25" s="81"/>
      <c r="N25" s="81"/>
      <c r="O25" s="81"/>
      <c r="P25" s="81"/>
      <c r="Q25" s="83"/>
      <c r="R25" s="14"/>
      <c r="S25" s="14"/>
      <c r="T25" s="4"/>
    </row>
    <row r="26" spans="1:30" s="3" customFormat="1" ht="34.5" customHeight="1" x14ac:dyDescent="0.35">
      <c r="A26" s="105" t="s">
        <v>62</v>
      </c>
      <c r="B26" s="106" t="s">
        <v>63</v>
      </c>
      <c r="C26" s="107" t="s">
        <v>63</v>
      </c>
      <c r="D26" s="107" t="s">
        <v>64</v>
      </c>
      <c r="E26" s="106" t="s">
        <v>65</v>
      </c>
      <c r="F26" s="107" t="s">
        <v>67</v>
      </c>
      <c r="G26" s="108" t="s">
        <v>68</v>
      </c>
      <c r="H26" s="109" t="s">
        <v>69</v>
      </c>
      <c r="I26" s="289" t="s">
        <v>133</v>
      </c>
      <c r="J26" s="290"/>
      <c r="K26" s="290"/>
      <c r="L26" s="291"/>
      <c r="M26" s="109" t="s">
        <v>70</v>
      </c>
      <c r="N26" s="107" t="s">
        <v>127</v>
      </c>
      <c r="O26" s="109" t="s">
        <v>138</v>
      </c>
      <c r="P26" s="110" t="str">
        <f>H9</f>
        <v>Розрахунково-касове обслуговування, грн</v>
      </c>
      <c r="Q26" s="110" t="s">
        <v>120</v>
      </c>
      <c r="R26" s="107" t="s">
        <v>119</v>
      </c>
      <c r="S26" s="110" t="s">
        <v>533</v>
      </c>
      <c r="T26" s="4"/>
    </row>
    <row r="27" spans="1:30" s="5" customFormat="1" ht="30.75" customHeight="1" x14ac:dyDescent="0.35">
      <c r="A27" s="110"/>
      <c r="B27" s="110"/>
      <c r="C27" s="110"/>
      <c r="D27" s="110"/>
      <c r="E27" s="110"/>
      <c r="F27" s="110"/>
      <c r="G27" s="110"/>
      <c r="H27" s="110"/>
      <c r="I27" s="107" t="s">
        <v>134</v>
      </c>
      <c r="J27" s="107" t="s">
        <v>135</v>
      </c>
      <c r="K27" s="107" t="s">
        <v>136</v>
      </c>
      <c r="L27" s="107" t="s">
        <v>137</v>
      </c>
      <c r="M27" s="110"/>
      <c r="N27" s="110"/>
      <c r="O27" s="110"/>
      <c r="P27" s="110"/>
      <c r="Q27" s="110"/>
      <c r="R27" s="110"/>
      <c r="S27" s="110"/>
      <c r="T27" s="4"/>
    </row>
    <row r="28" spans="1:30" s="5" customFormat="1" ht="12" customHeight="1" x14ac:dyDescent="0.35">
      <c r="A28" s="20"/>
      <c r="B28" s="21">
        <f ca="1">D3</f>
        <v>44228</v>
      </c>
      <c r="C28" s="21">
        <f t="shared" ref="C28:C29" ca="1" si="1">IF(A28&gt;$D$8,"",B28)</f>
        <v>44228</v>
      </c>
      <c r="D28" s="20"/>
      <c r="E28" s="22">
        <f>IF(R8="кредит",D7+P8,D7)</f>
        <v>1000000</v>
      </c>
      <c r="F28" s="20"/>
      <c r="G28" s="20"/>
      <c r="H28" s="67">
        <f>-E28+M28+P28+I28+J28+K28+L28+N28+O28</f>
        <v>-927600</v>
      </c>
      <c r="I28" s="175">
        <f>R12</f>
        <v>0</v>
      </c>
      <c r="J28" s="175">
        <f>R13</f>
        <v>0</v>
      </c>
      <c r="K28" s="175">
        <f>Q14+Q15</f>
        <v>59900</v>
      </c>
      <c r="L28" s="175">
        <f>R16</f>
        <v>0</v>
      </c>
      <c r="M28" s="22">
        <f>P8</f>
        <v>10000</v>
      </c>
      <c r="N28" s="22">
        <f>R11</f>
        <v>0</v>
      </c>
      <c r="O28" s="22">
        <f>R17</f>
        <v>2500</v>
      </c>
      <c r="P28" s="22">
        <f>P9</f>
        <v>0</v>
      </c>
      <c r="Q28" s="23"/>
      <c r="R28" s="228"/>
      <c r="S28" s="24">
        <f>H28</f>
        <v>-927600</v>
      </c>
      <c r="T28" s="19"/>
      <c r="U28" s="15">
        <f ca="1">U29</f>
        <v>365</v>
      </c>
      <c r="V28" s="15"/>
      <c r="W28" s="15"/>
      <c r="X28" s="15"/>
      <c r="Y28" s="15"/>
    </row>
    <row r="29" spans="1:30" x14ac:dyDescent="0.35">
      <c r="A29" s="25">
        <v>1</v>
      </c>
      <c r="B29" s="21">
        <f ca="1">EDATE($B$28,1)</f>
        <v>44256</v>
      </c>
      <c r="C29" s="21">
        <f t="shared" ca="1" si="1"/>
        <v>44256</v>
      </c>
      <c r="D29" s="25">
        <f t="shared" ref="D29:D40" ca="1" si="2">B29-B28</f>
        <v>28</v>
      </c>
      <c r="E29" s="22">
        <f>E28-F29</f>
        <v>983333.33333333337</v>
      </c>
      <c r="F29" s="22">
        <f t="shared" ref="F29" si="3">$E$28/$D$8</f>
        <v>16666.666666666668</v>
      </c>
      <c r="G29" s="22">
        <f ca="1">IF(U29&lt;&gt;U28,ROUND(SUM(W29*$F$10*E28/U29,X29*$F$10*E28/U28),2),ROUND(E28*$F$10*D29/U28,2))</f>
        <v>0</v>
      </c>
      <c r="H29" s="22">
        <f ca="1">F29+G29</f>
        <v>16666.666666666668</v>
      </c>
      <c r="I29" s="22"/>
      <c r="J29" s="22"/>
      <c r="K29" s="22"/>
      <c r="L29" s="22"/>
      <c r="M29" s="25"/>
      <c r="N29" s="25"/>
      <c r="O29" s="25"/>
      <c r="P29" s="25"/>
      <c r="Q29" s="68" t="str">
        <f>IF(A28=$D$8,XIRR(S$28:S28,C$28:C28),"")</f>
        <v/>
      </c>
      <c r="R29" s="22" t="str">
        <f t="shared" ref="R29:R88" si="4">IF(A28=$D$8,G29+$M$28+$P$28+F29+$I$28+$J$28+$K$28+$L$28+$N$28+$P$18,"")</f>
        <v/>
      </c>
      <c r="S29" s="22">
        <f ca="1">SUM(H29:R29)</f>
        <v>16666.666666666668</v>
      </c>
      <c r="T29" s="15">
        <f ca="1">IF(C29="","",YEAR(C29))</f>
        <v>2021</v>
      </c>
      <c r="U29" s="15">
        <f ca="1">IF(OR(T29=2024,T29=2028,T29=2016,T29=2020),366,365)</f>
        <v>365</v>
      </c>
      <c r="V29" s="15">
        <f ca="1">IF(C29="","",DAY(C29))</f>
        <v>1</v>
      </c>
      <c r="W29" s="16">
        <f ca="1">V29-1</f>
        <v>0</v>
      </c>
      <c r="X29" s="17">
        <f ca="1">D29-W29</f>
        <v>28</v>
      </c>
      <c r="Y29" s="15"/>
    </row>
    <row r="30" spans="1:30" x14ac:dyDescent="0.35">
      <c r="A30" s="25">
        <f>IF(A29&lt;$D$8,A29+1,"")</f>
        <v>2</v>
      </c>
      <c r="B30" s="21">
        <f ca="1">EDATE($B$28,2)</f>
        <v>44287</v>
      </c>
      <c r="C30" s="21">
        <f t="shared" ref="C30:C93" ca="1" si="5">IF(B30=$D$19,B30-1,(IF(B30&gt;$D$19," ",B30)))</f>
        <v>44287</v>
      </c>
      <c r="D30" s="25">
        <f t="shared" ca="1" si="2"/>
        <v>31</v>
      </c>
      <c r="E30" s="22">
        <f>E29-F30</f>
        <v>966666.66333333333</v>
      </c>
      <c r="F30" s="22">
        <f>ROUND($E$28/$D$8,2)</f>
        <v>16666.669999999998</v>
      </c>
      <c r="G30" s="22">
        <f ca="1">IF(U30&lt;&gt;U29,ROUND(SUM(W30*$F$10*E29/U30,X30*$F$10*E29/U29),2),ROUND(E29*$F$10*D30/U29,2))</f>
        <v>0</v>
      </c>
      <c r="H30" s="22">
        <f ca="1">IF(A29=$D$8,SUM(H7:H29),IF(A29&gt;$D$8,"",F30+G30))</f>
        <v>16666.669999999998</v>
      </c>
      <c r="I30" s="22"/>
      <c r="J30" s="22"/>
      <c r="K30" s="22"/>
      <c r="L30" s="22"/>
      <c r="M30" s="25"/>
      <c r="N30" s="25"/>
      <c r="O30" s="25"/>
      <c r="P30" s="25"/>
      <c r="Q30" s="68" t="str">
        <f>IF(A29=$D$8,XIRR(S$28:S29,C$28:C29),"")</f>
        <v/>
      </c>
      <c r="R30" s="22" t="str">
        <f t="shared" si="4"/>
        <v/>
      </c>
      <c r="S30" s="22">
        <f t="shared" ref="S30:S88" ca="1" si="6">SUM(H30:R30)</f>
        <v>16666.669999999998</v>
      </c>
      <c r="T30" s="15">
        <f t="shared" ref="T30:T93" ca="1" si="7">IF(C30="","",YEAR(C30))</f>
        <v>2021</v>
      </c>
      <c r="U30" s="15">
        <f t="shared" ref="U30:U93" ca="1" si="8">IF(OR(T30=2024,T30=2028,T30=2016,T30=2020),366,365)</f>
        <v>365</v>
      </c>
      <c r="V30" s="15">
        <f t="shared" ref="V30:V88" ca="1" si="9">IF(C30="","",DAY(C30))</f>
        <v>1</v>
      </c>
      <c r="W30" s="16">
        <f t="shared" ref="W30:W88" ca="1" si="10">V30-1</f>
        <v>0</v>
      </c>
      <c r="X30" s="17">
        <f t="shared" ref="X30:X88" ca="1" si="11">D30-W30</f>
        <v>31</v>
      </c>
      <c r="Y30" s="15"/>
    </row>
    <row r="31" spans="1:30" x14ac:dyDescent="0.35">
      <c r="A31" s="25">
        <f t="shared" ref="A31:A94" si="12">IF(A30&lt;$D$8,A30+1,"")</f>
        <v>3</v>
      </c>
      <c r="B31" s="21">
        <f ca="1">EDATE($B$28,3)</f>
        <v>44317</v>
      </c>
      <c r="C31" s="21">
        <f t="shared" ca="1" si="5"/>
        <v>44317</v>
      </c>
      <c r="D31" s="25">
        <f t="shared" ca="1" si="2"/>
        <v>30</v>
      </c>
      <c r="E31" s="22">
        <f t="shared" ref="E31:E40" si="13">E30-F31</f>
        <v>949999.99333333329</v>
      </c>
      <c r="F31" s="22">
        <f>IF(AND(A30="",A32=""),"",IF(A31="",ROUND(SUM($F$29:F30),2),IF(A31=$D$8,$E$28-ROUND(SUM($F$29:F30),2),ROUND($E$28/$D$8,2))))</f>
        <v>16666.669999999998</v>
      </c>
      <c r="G31" s="22">
        <f ca="1">IF(U31&lt;&gt;U30,ROUND(SUM(W31*$F$10*E30/U31,X31*$F$10*E30/U30),2),ROUND(E30*$F$10*D31/U30,2))</f>
        <v>0</v>
      </c>
      <c r="H31" s="22">
        <f ca="1">IF(A30=$D$8,SUM(H8:H30),IF(A30&gt;$D$8,"",F31+G31))</f>
        <v>16666.669999999998</v>
      </c>
      <c r="I31" s="22"/>
      <c r="J31" s="22"/>
      <c r="K31" s="22"/>
      <c r="L31" s="22"/>
      <c r="M31" s="25"/>
      <c r="N31" s="25"/>
      <c r="O31" s="25"/>
      <c r="P31" s="25"/>
      <c r="Q31" s="68" t="str">
        <f>IF(A30=$D$8,XIRR(S$28:S30,C$28:C30),"")</f>
        <v/>
      </c>
      <c r="R31" s="22" t="str">
        <f t="shared" si="4"/>
        <v/>
      </c>
      <c r="S31" s="22">
        <f t="shared" ca="1" si="6"/>
        <v>16666.669999999998</v>
      </c>
      <c r="T31" s="15">
        <f t="shared" ca="1" si="7"/>
        <v>2021</v>
      </c>
      <c r="U31" s="15">
        <f t="shared" ca="1" si="8"/>
        <v>365</v>
      </c>
      <c r="V31" s="15">
        <f t="shared" ca="1" si="9"/>
        <v>1</v>
      </c>
      <c r="W31" s="16">
        <f t="shared" ca="1" si="10"/>
        <v>0</v>
      </c>
      <c r="X31" s="17">
        <f t="shared" ca="1" si="11"/>
        <v>30</v>
      </c>
      <c r="Y31" s="15"/>
    </row>
    <row r="32" spans="1:30" x14ac:dyDescent="0.35">
      <c r="A32" s="25">
        <f t="shared" si="12"/>
        <v>4</v>
      </c>
      <c r="B32" s="21">
        <f ca="1">EDATE($B$28,4)</f>
        <v>44348</v>
      </c>
      <c r="C32" s="21">
        <f t="shared" ca="1" si="5"/>
        <v>44348</v>
      </c>
      <c r="D32" s="25">
        <f t="shared" ca="1" si="2"/>
        <v>31</v>
      </c>
      <c r="E32" s="22">
        <f t="shared" si="13"/>
        <v>933333.32333333325</v>
      </c>
      <c r="F32" s="22">
        <f>IF(AND(A31="",A33=""),"",IF(A32="",ROUND(SUM($F$29:F31),2),IF(A32=$D$8,$E$28-ROUND(SUM($F$29:F31),2),ROUND($E$28/$D$8,2))))</f>
        <v>16666.669999999998</v>
      </c>
      <c r="G32" s="22">
        <f ca="1">IF(A31=$D$8,ROUND(SUM($G$29:G31),2),IF(A32&gt;$F$8,"",IF(U32&lt;&gt;U31,ROUND(SUM(W32*$F$9*E31/U32,X32*$F$9*E31/U31),2),ROUND(E31*$F$9*D32/U31,2))))</f>
        <v>15322.07</v>
      </c>
      <c r="H32" s="22">
        <f ca="1">IF(A31=$D$8,SUM(H9:H31),IF(A31&gt;$D$8,"",F32+G32))</f>
        <v>31988.739999999998</v>
      </c>
      <c r="I32" s="22" t="str">
        <f>IF(A31=$D$8,$I$28,"")</f>
        <v/>
      </c>
      <c r="J32" s="22" t="str">
        <f>IF(A31=$D$8,$J$28,"")</f>
        <v/>
      </c>
      <c r="K32" s="22" t="str">
        <f>IF(A31=$D$8,$K$28,"")</f>
        <v/>
      </c>
      <c r="L32" s="22" t="str">
        <f>IF(A31=$D$8,$L$28,"")</f>
        <v/>
      </c>
      <c r="M32" s="22" t="str">
        <f>IF(A31=$D$8,$M$28,"")</f>
        <v/>
      </c>
      <c r="N32" s="22" t="str">
        <f>IF(A31=$D$8,$N$28,"")</f>
        <v/>
      </c>
      <c r="O32" s="22" t="str">
        <f>IF(A31=$D$8,$O$28,"")</f>
        <v/>
      </c>
      <c r="P32" s="22"/>
      <c r="Q32" s="68" t="str">
        <f>IF(A31=$D$8,XIRR(S$28:S31,C$28:C31),"")</f>
        <v/>
      </c>
      <c r="R32" s="22" t="str">
        <f t="shared" si="4"/>
        <v/>
      </c>
      <c r="S32" s="22">
        <f t="shared" ca="1" si="6"/>
        <v>31988.739999999998</v>
      </c>
      <c r="T32" s="15">
        <f t="shared" ca="1" si="7"/>
        <v>2021</v>
      </c>
      <c r="U32" s="15">
        <f t="shared" ca="1" si="8"/>
        <v>365</v>
      </c>
      <c r="V32" s="15">
        <f t="shared" ca="1" si="9"/>
        <v>1</v>
      </c>
      <c r="W32" s="16">
        <f t="shared" ca="1" si="10"/>
        <v>0</v>
      </c>
      <c r="X32" s="17">
        <f t="shared" ca="1" si="11"/>
        <v>31</v>
      </c>
      <c r="Y32" s="15"/>
    </row>
    <row r="33" spans="1:25" x14ac:dyDescent="0.35">
      <c r="A33" s="25">
        <f t="shared" si="12"/>
        <v>5</v>
      </c>
      <c r="B33" s="21">
        <f ca="1">EDATE($B$28,5)</f>
        <v>44378</v>
      </c>
      <c r="C33" s="21">
        <f t="shared" ca="1" si="5"/>
        <v>44378</v>
      </c>
      <c r="D33" s="25">
        <f t="shared" ca="1" si="2"/>
        <v>30</v>
      </c>
      <c r="E33" s="22">
        <f t="shared" si="13"/>
        <v>916666.6533333332</v>
      </c>
      <c r="F33" s="22">
        <f>IF(AND(A32="",A34=""),"",IF(A33="",ROUND(SUM($F$29:F32),2),IF(A33=$D$8,$E$28-ROUND(SUM($F$29:F32),2),ROUND($E$28/$D$8,2))))</f>
        <v>16666.669999999998</v>
      </c>
      <c r="G33" s="22">
        <f ca="1">IF(A32=$D$8,ROUND(SUM($G$29:G32),2),IF(A33&gt;$F$8,"",IF(U33&lt;&gt;U32,ROUND(SUM(W33*$F$9*E32/U33,X33*$F$9*E32/U32),2),ROUND(E32*$F$9*D33/U32,2))))</f>
        <v>14567.67</v>
      </c>
      <c r="H33" s="22">
        <f ca="1">IF(A32=$D$8,SUM(H19:H32),IF(A32&gt;$D$8,"",F33+G33))</f>
        <v>31234.339999999997</v>
      </c>
      <c r="I33" s="22" t="str">
        <f t="shared" ref="I33:I40" si="14">IF(A32=$D$8,$I$28,"")</f>
        <v/>
      </c>
      <c r="J33" s="22" t="str">
        <f t="shared" ref="J33:J40" si="15">IF(A32=$D$8,$J$28,"")</f>
        <v/>
      </c>
      <c r="K33" s="22" t="str">
        <f t="shared" ref="K33:K40" si="16">IF(A32=$D$8,$K$28,"")</f>
        <v/>
      </c>
      <c r="L33" s="22" t="str">
        <f t="shared" ref="L33:L40" si="17">IF(A32=$D$8,$L$28,"")</f>
        <v/>
      </c>
      <c r="M33" s="22" t="str">
        <f>IF(A32=$D$8,$M$28,"")</f>
        <v/>
      </c>
      <c r="N33" s="22" t="str">
        <f t="shared" ref="N33:N40" si="18">IF(A32=$D$8,$N$28,"")</f>
        <v/>
      </c>
      <c r="O33" s="22" t="str">
        <f t="shared" ref="O33:O40" si="19">IF(A32=$D$8,$O$28,"")</f>
        <v/>
      </c>
      <c r="P33" s="22"/>
      <c r="Q33" s="68" t="str">
        <f>IF(A32=$D$8,XIRR(S$28:S32,C$28:C32),"")</f>
        <v/>
      </c>
      <c r="R33" s="22" t="str">
        <f t="shared" si="4"/>
        <v/>
      </c>
      <c r="S33" s="22">
        <f t="shared" ca="1" si="6"/>
        <v>31234.339999999997</v>
      </c>
      <c r="T33" s="15">
        <f t="shared" ca="1" si="7"/>
        <v>2021</v>
      </c>
      <c r="U33" s="15">
        <f t="shared" ca="1" si="8"/>
        <v>365</v>
      </c>
      <c r="V33" s="15">
        <f t="shared" ca="1" si="9"/>
        <v>1</v>
      </c>
      <c r="W33" s="16">
        <f t="shared" ca="1" si="10"/>
        <v>0</v>
      </c>
      <c r="X33" s="17">
        <f t="shared" ca="1" si="11"/>
        <v>30</v>
      </c>
      <c r="Y33" s="15"/>
    </row>
    <row r="34" spans="1:25" x14ac:dyDescent="0.35">
      <c r="A34" s="25">
        <f t="shared" si="12"/>
        <v>6</v>
      </c>
      <c r="B34" s="21">
        <f ca="1">EDATE($B$28,6)</f>
        <v>44409</v>
      </c>
      <c r="C34" s="21">
        <f t="shared" ca="1" si="5"/>
        <v>44409</v>
      </c>
      <c r="D34" s="25">
        <f t="shared" ca="1" si="2"/>
        <v>31</v>
      </c>
      <c r="E34" s="22">
        <f t="shared" si="13"/>
        <v>899999.98333333316</v>
      </c>
      <c r="F34" s="22">
        <f>IF(AND(A33="",A35=""),"",IF(A34="",ROUND(SUM($F$29:F33),2),IF(A34=$D$8,$E$28-ROUND(SUM($F$29:F33),2),ROUND($E$28/$D$8,2))))</f>
        <v>16666.669999999998</v>
      </c>
      <c r="G34" s="22">
        <f ca="1">IF(A33=$D$8,ROUND(SUM($G$29:G33),2),IF(A34&gt;$F$8,"",IF(U34&lt;&gt;U33,ROUND(SUM(W34*$F$9*E33/U34,X34*$F$9*E33/U33),2),ROUND(E33*$F$9*D34/U33,2))))</f>
        <v>14784.45</v>
      </c>
      <c r="H34" s="22">
        <f t="shared" ref="H34:H39" ca="1" si="20">IF(A33=$D$8,SUM(H21:H33),IF(A33&gt;$D$8,"",F34+G34))</f>
        <v>31451.119999999999</v>
      </c>
      <c r="I34" s="22" t="str">
        <f t="shared" si="14"/>
        <v/>
      </c>
      <c r="J34" s="22" t="str">
        <f t="shared" si="15"/>
        <v/>
      </c>
      <c r="K34" s="22" t="str">
        <f t="shared" si="16"/>
        <v/>
      </c>
      <c r="L34" s="22" t="str">
        <f t="shared" si="17"/>
        <v/>
      </c>
      <c r="M34" s="22" t="str">
        <f>IF(A33=$D$8,$M$28,"")</f>
        <v/>
      </c>
      <c r="N34" s="22" t="str">
        <f t="shared" si="18"/>
        <v/>
      </c>
      <c r="O34" s="22" t="str">
        <f t="shared" si="19"/>
        <v/>
      </c>
      <c r="P34" s="22"/>
      <c r="Q34" s="68" t="str">
        <f>IF(A33=$D$8,XIRR(S$28:S33,C$28:C33),"")</f>
        <v/>
      </c>
      <c r="R34" s="22" t="str">
        <f t="shared" si="4"/>
        <v/>
      </c>
      <c r="S34" s="22">
        <f t="shared" ca="1" si="6"/>
        <v>31451.119999999999</v>
      </c>
      <c r="T34" s="15">
        <f t="shared" ca="1" si="7"/>
        <v>2021</v>
      </c>
      <c r="U34" s="15">
        <f t="shared" ca="1" si="8"/>
        <v>365</v>
      </c>
      <c r="V34" s="15">
        <f t="shared" ca="1" si="9"/>
        <v>1</v>
      </c>
      <c r="W34" s="16">
        <f t="shared" ca="1" si="10"/>
        <v>0</v>
      </c>
      <c r="X34" s="17">
        <f t="shared" ca="1" si="11"/>
        <v>31</v>
      </c>
      <c r="Y34" s="15"/>
    </row>
    <row r="35" spans="1:25" x14ac:dyDescent="0.35">
      <c r="A35" s="25">
        <f t="shared" si="12"/>
        <v>7</v>
      </c>
      <c r="B35" s="21">
        <f ca="1">EDATE($B$28,7)</f>
        <v>44440</v>
      </c>
      <c r="C35" s="21">
        <f t="shared" ca="1" si="5"/>
        <v>44440</v>
      </c>
      <c r="D35" s="25">
        <f t="shared" ca="1" si="2"/>
        <v>31</v>
      </c>
      <c r="E35" s="22">
        <f t="shared" si="13"/>
        <v>883333.31333333312</v>
      </c>
      <c r="F35" s="22">
        <f>IF(AND(A34="",A36=""),"",IF(A35="",ROUND(SUM($F$29:F34),2),IF(A35=$D$8,$E$28-ROUND(SUM($F$29:F34),2),ROUND($E$28/$D$8,2))))</f>
        <v>16666.669999999998</v>
      </c>
      <c r="G35" s="22">
        <f ca="1">IF(A34=$D$8,ROUND(SUM($G$29:G34),2),IF(A35&gt;$F$8,"",IF(U35&lt;&gt;U34,ROUND(SUM(W35*$F$9*E34/U35,X35*$F$9*E34/U34),2),ROUND(E34*$F$9*D35/U34,2))))</f>
        <v>14515.64</v>
      </c>
      <c r="H35" s="22">
        <f t="shared" ca="1" si="20"/>
        <v>31182.309999999998</v>
      </c>
      <c r="I35" s="22" t="str">
        <f t="shared" si="14"/>
        <v/>
      </c>
      <c r="J35" s="22" t="str">
        <f t="shared" si="15"/>
        <v/>
      </c>
      <c r="K35" s="22" t="str">
        <f t="shared" si="16"/>
        <v/>
      </c>
      <c r="L35" s="22" t="str">
        <f t="shared" si="17"/>
        <v/>
      </c>
      <c r="M35" s="22"/>
      <c r="N35" s="22" t="str">
        <f t="shared" si="18"/>
        <v/>
      </c>
      <c r="O35" s="22" t="str">
        <f t="shared" si="19"/>
        <v/>
      </c>
      <c r="P35" s="22"/>
      <c r="Q35" s="68" t="str">
        <f>IF(A34=$D$8,XIRR(S$28:S34,C$28:C34),"")</f>
        <v/>
      </c>
      <c r="R35" s="22" t="str">
        <f t="shared" si="4"/>
        <v/>
      </c>
      <c r="S35" s="22">
        <f t="shared" ca="1" si="6"/>
        <v>31182.309999999998</v>
      </c>
      <c r="T35" s="15">
        <f t="shared" ca="1" si="7"/>
        <v>2021</v>
      </c>
      <c r="U35" s="15">
        <f t="shared" ca="1" si="8"/>
        <v>365</v>
      </c>
      <c r="V35" s="15">
        <f t="shared" ca="1" si="9"/>
        <v>1</v>
      </c>
      <c r="W35" s="16">
        <f t="shared" ca="1" si="10"/>
        <v>0</v>
      </c>
      <c r="X35" s="17">
        <f t="shared" ca="1" si="11"/>
        <v>31</v>
      </c>
      <c r="Y35" s="15"/>
    </row>
    <row r="36" spans="1:25" x14ac:dyDescent="0.35">
      <c r="A36" s="25">
        <f t="shared" si="12"/>
        <v>8</v>
      </c>
      <c r="B36" s="21">
        <f ca="1">EDATE($B$28,8)</f>
        <v>44470</v>
      </c>
      <c r="C36" s="21">
        <f t="shared" ca="1" si="5"/>
        <v>44470</v>
      </c>
      <c r="D36" s="25">
        <f t="shared" ca="1" si="2"/>
        <v>30</v>
      </c>
      <c r="E36" s="22">
        <f t="shared" si="13"/>
        <v>866666.64333333308</v>
      </c>
      <c r="F36" s="22">
        <f>IF(AND(A35="",A37=""),"",IF(A36="",ROUND(SUM($F$29:F35),2),IF(A36=$D$8,$E$28-ROUND(SUM($F$29:F35),2),ROUND($E$28/$D$8,2))))</f>
        <v>16666.669999999998</v>
      </c>
      <c r="G36" s="22">
        <f ca="1">IF(A35=$D$8,ROUND(SUM($G$29:G35),2),IF(A36&gt;$F$8,"",IF(U36&lt;&gt;U35,ROUND(SUM(W36*$F$9*E35/U36,X36*$F$9*E35/U35),2),ROUND(E35*$F$9*D36/U35,2))))</f>
        <v>13787.26</v>
      </c>
      <c r="H36" s="22">
        <f t="shared" ca="1" si="20"/>
        <v>30453.93</v>
      </c>
      <c r="I36" s="22" t="str">
        <f t="shared" si="14"/>
        <v/>
      </c>
      <c r="J36" s="22" t="str">
        <f t="shared" si="15"/>
        <v/>
      </c>
      <c r="K36" s="22" t="str">
        <f t="shared" si="16"/>
        <v/>
      </c>
      <c r="L36" s="22" t="str">
        <f t="shared" si="17"/>
        <v/>
      </c>
      <c r="M36" s="22" t="str">
        <f t="shared" ref="M36:M41" si="21">IF(A35=$D$8,$M$28,"")</f>
        <v/>
      </c>
      <c r="N36" s="22" t="str">
        <f t="shared" si="18"/>
        <v/>
      </c>
      <c r="O36" s="22" t="str">
        <f t="shared" si="19"/>
        <v/>
      </c>
      <c r="P36" s="22"/>
      <c r="Q36" s="68" t="str">
        <f>IF(A35=$D$8,XIRR(S$28:S35,C$28:C35),"")</f>
        <v/>
      </c>
      <c r="R36" s="22" t="str">
        <f t="shared" si="4"/>
        <v/>
      </c>
      <c r="S36" s="22">
        <f t="shared" ca="1" si="6"/>
        <v>30453.93</v>
      </c>
      <c r="T36" s="15">
        <f t="shared" ca="1" si="7"/>
        <v>2021</v>
      </c>
      <c r="U36" s="15">
        <f t="shared" ca="1" si="8"/>
        <v>365</v>
      </c>
      <c r="V36" s="15">
        <f t="shared" ca="1" si="9"/>
        <v>1</v>
      </c>
      <c r="W36" s="16">
        <f t="shared" ca="1" si="10"/>
        <v>0</v>
      </c>
      <c r="X36" s="17">
        <f t="shared" ca="1" si="11"/>
        <v>30</v>
      </c>
      <c r="Y36" s="15"/>
    </row>
    <row r="37" spans="1:25" x14ac:dyDescent="0.35">
      <c r="A37" s="25">
        <f t="shared" si="12"/>
        <v>9</v>
      </c>
      <c r="B37" s="21">
        <f ca="1">EDATE($B$28,9)</f>
        <v>44501</v>
      </c>
      <c r="C37" s="21">
        <f t="shared" ca="1" si="5"/>
        <v>44501</v>
      </c>
      <c r="D37" s="25">
        <f t="shared" ca="1" si="2"/>
        <v>31</v>
      </c>
      <c r="E37" s="22">
        <f t="shared" si="13"/>
        <v>849999.97333333304</v>
      </c>
      <c r="F37" s="22">
        <f>IF(AND(A36="",A38=""),"",IF(A37="",ROUND(SUM($F$29:F36),2),IF(A37=$D$8,$E$28-ROUND(SUM($F$29:F36),2),ROUND($E$28/$D$8,2))))</f>
        <v>16666.669999999998</v>
      </c>
      <c r="G37" s="22">
        <f ca="1">IF(A36=$D$8,ROUND(SUM($G$29:G36),2),IF(A37&gt;$F$8,"",IF(U37&lt;&gt;U36,ROUND(SUM(W37*$F$9*E36/U37,X37*$F$9*E36/U36),2),ROUND(E36*$F$9*D37/U36,2))))</f>
        <v>13978.03</v>
      </c>
      <c r="H37" s="22">
        <f t="shared" ca="1" si="20"/>
        <v>30644.699999999997</v>
      </c>
      <c r="I37" s="22" t="str">
        <f t="shared" si="14"/>
        <v/>
      </c>
      <c r="J37" s="22" t="str">
        <f t="shared" si="15"/>
        <v/>
      </c>
      <c r="K37" s="22" t="str">
        <f t="shared" si="16"/>
        <v/>
      </c>
      <c r="L37" s="22" t="str">
        <f t="shared" si="17"/>
        <v/>
      </c>
      <c r="M37" s="22" t="str">
        <f t="shared" si="21"/>
        <v/>
      </c>
      <c r="N37" s="22" t="str">
        <f t="shared" si="18"/>
        <v/>
      </c>
      <c r="O37" s="22" t="str">
        <f t="shared" si="19"/>
        <v/>
      </c>
      <c r="P37" s="22"/>
      <c r="Q37" s="68" t="str">
        <f>IF(A36=$D$8,XIRR(S$28:S36,C$28:C36),"")</f>
        <v/>
      </c>
      <c r="R37" s="22" t="str">
        <f t="shared" si="4"/>
        <v/>
      </c>
      <c r="S37" s="22">
        <f t="shared" ca="1" si="6"/>
        <v>30644.699999999997</v>
      </c>
      <c r="T37" s="15">
        <f t="shared" ca="1" si="7"/>
        <v>2021</v>
      </c>
      <c r="U37" s="15">
        <f t="shared" ca="1" si="8"/>
        <v>365</v>
      </c>
      <c r="V37" s="15">
        <f t="shared" ca="1" si="9"/>
        <v>1</v>
      </c>
      <c r="W37" s="16">
        <f t="shared" ca="1" si="10"/>
        <v>0</v>
      </c>
      <c r="X37" s="17">
        <f t="shared" ca="1" si="11"/>
        <v>31</v>
      </c>
      <c r="Y37" s="15"/>
    </row>
    <row r="38" spans="1:25" x14ac:dyDescent="0.35">
      <c r="A38" s="25">
        <f t="shared" si="12"/>
        <v>10</v>
      </c>
      <c r="B38" s="21">
        <f ca="1">EDATE($B$28,10)</f>
        <v>44531</v>
      </c>
      <c r="C38" s="21">
        <f t="shared" ca="1" si="5"/>
        <v>44531</v>
      </c>
      <c r="D38" s="25">
        <f t="shared" ca="1" si="2"/>
        <v>30</v>
      </c>
      <c r="E38" s="22">
        <f t="shared" si="13"/>
        <v>833333.30333333299</v>
      </c>
      <c r="F38" s="22">
        <f>IF(AND(A37="",A39=""),"",IF(A38="",ROUND(SUM($F$29:F37),2),IF(A38=$D$8,$E$28-ROUND(SUM($F$29:F37),2),ROUND($E$28/$D$8,2))))</f>
        <v>16666.669999999998</v>
      </c>
      <c r="G38" s="22">
        <f ca="1">IF(A37=$D$8,ROUND(SUM($G$29:G37),2),IF(A38&gt;$F$8,"",IF(U38&lt;&gt;U37,ROUND(SUM(W38*$F$9*E37/U38,X38*$F$9*E37/U37),2),ROUND(E37*$F$9*D38/U37,2))))</f>
        <v>13266.99</v>
      </c>
      <c r="H38" s="22">
        <f t="shared" ca="1" si="20"/>
        <v>29933.659999999996</v>
      </c>
      <c r="I38" s="22" t="str">
        <f t="shared" si="14"/>
        <v/>
      </c>
      <c r="J38" s="22" t="str">
        <f t="shared" si="15"/>
        <v/>
      </c>
      <c r="K38" s="22" t="str">
        <f t="shared" si="16"/>
        <v/>
      </c>
      <c r="L38" s="22" t="str">
        <f t="shared" si="17"/>
        <v/>
      </c>
      <c r="M38" s="22" t="str">
        <f t="shared" si="21"/>
        <v/>
      </c>
      <c r="N38" s="22" t="str">
        <f t="shared" si="18"/>
        <v/>
      </c>
      <c r="O38" s="22" t="str">
        <f t="shared" si="19"/>
        <v/>
      </c>
      <c r="P38" s="22"/>
      <c r="Q38" s="68" t="str">
        <f>IF(A37=$D$8,XIRR(S$28:S37,C$28:C37),"")</f>
        <v/>
      </c>
      <c r="R38" s="22" t="str">
        <f t="shared" si="4"/>
        <v/>
      </c>
      <c r="S38" s="22">
        <f t="shared" ca="1" si="6"/>
        <v>29933.659999999996</v>
      </c>
      <c r="T38" s="15">
        <f t="shared" ca="1" si="7"/>
        <v>2021</v>
      </c>
      <c r="U38" s="15">
        <f t="shared" ca="1" si="8"/>
        <v>365</v>
      </c>
      <c r="V38" s="15">
        <f t="shared" ca="1" si="9"/>
        <v>1</v>
      </c>
      <c r="W38" s="16">
        <f t="shared" ca="1" si="10"/>
        <v>0</v>
      </c>
      <c r="X38" s="17">
        <f t="shared" ca="1" si="11"/>
        <v>30</v>
      </c>
      <c r="Y38" s="15"/>
    </row>
    <row r="39" spans="1:25" x14ac:dyDescent="0.35">
      <c r="A39" s="25">
        <f t="shared" si="12"/>
        <v>11</v>
      </c>
      <c r="B39" s="21">
        <f ca="1">EDATE($B$28,11)</f>
        <v>44562</v>
      </c>
      <c r="C39" s="21">
        <f t="shared" ca="1" si="5"/>
        <v>44562</v>
      </c>
      <c r="D39" s="25">
        <f t="shared" ca="1" si="2"/>
        <v>31</v>
      </c>
      <c r="E39" s="22">
        <f t="shared" si="13"/>
        <v>816666.63333333295</v>
      </c>
      <c r="F39" s="22">
        <f>IF(AND(A38="",A40=""),"",IF(A39="",ROUND(SUM($F$29:F38),2),IF(A39=$D$8,$E$28-ROUND(SUM($F$29:F38),2),ROUND($E$28/$D$8,2))))</f>
        <v>16666.669999999998</v>
      </c>
      <c r="G39" s="22">
        <f ca="1">IF(A38=$D$8,ROUND(SUM($G$29:G38),2),IF(A39&gt;$F$8,"",IF(U39&lt;&gt;U38,ROUND(SUM(W39*$F$9*E38/U39,X39*$F$9*E38/U38),2),ROUND(E38*$F$9*D39/U38,2))))</f>
        <v>13440.41</v>
      </c>
      <c r="H39" s="22">
        <f t="shared" ca="1" si="20"/>
        <v>30107.079999999998</v>
      </c>
      <c r="I39" s="22" t="str">
        <f t="shared" si="14"/>
        <v/>
      </c>
      <c r="J39" s="22" t="str">
        <f t="shared" si="15"/>
        <v/>
      </c>
      <c r="K39" s="22" t="str">
        <f t="shared" si="16"/>
        <v/>
      </c>
      <c r="L39" s="22" t="str">
        <f t="shared" si="17"/>
        <v/>
      </c>
      <c r="M39" s="22" t="str">
        <f t="shared" si="21"/>
        <v/>
      </c>
      <c r="N39" s="22" t="str">
        <f t="shared" si="18"/>
        <v/>
      </c>
      <c r="O39" s="22" t="str">
        <f t="shared" si="19"/>
        <v/>
      </c>
      <c r="P39" s="22"/>
      <c r="Q39" s="68" t="str">
        <f>IF(A38=$D$8,XIRR(S$28:S38,C$28:C38),"")</f>
        <v/>
      </c>
      <c r="R39" s="22" t="str">
        <f t="shared" si="4"/>
        <v/>
      </c>
      <c r="S39" s="22">
        <f t="shared" ca="1" si="6"/>
        <v>30107.079999999998</v>
      </c>
      <c r="T39" s="15">
        <f t="shared" ca="1" si="7"/>
        <v>2022</v>
      </c>
      <c r="U39" s="15">
        <f t="shared" ca="1" si="8"/>
        <v>365</v>
      </c>
      <c r="V39" s="15">
        <f t="shared" ca="1" si="9"/>
        <v>1</v>
      </c>
      <c r="W39" s="16">
        <f t="shared" ca="1" si="10"/>
        <v>0</v>
      </c>
      <c r="X39" s="17">
        <f t="shared" ca="1" si="11"/>
        <v>31</v>
      </c>
      <c r="Y39" s="15"/>
    </row>
    <row r="40" spans="1:25" x14ac:dyDescent="0.35">
      <c r="A40" s="25">
        <f t="shared" si="12"/>
        <v>12</v>
      </c>
      <c r="B40" s="21">
        <f ca="1">EDATE($B$28,12)</f>
        <v>44593</v>
      </c>
      <c r="C40" s="21">
        <f t="shared" ca="1" si="5"/>
        <v>44593</v>
      </c>
      <c r="D40" s="25">
        <f t="shared" ca="1" si="2"/>
        <v>31</v>
      </c>
      <c r="E40" s="22">
        <f t="shared" si="13"/>
        <v>799999.96333333291</v>
      </c>
      <c r="F40" s="22">
        <f>IF(AND(A39="",A41=""),"",IF(A40="",ROUND(SUM($F$29:F39),2),IF(A40=$D$8,$E$28-ROUND(SUM($F$29:F39),2),ROUND($E$28/$D$8,2))))</f>
        <v>16666.669999999998</v>
      </c>
      <c r="G40" s="22">
        <f ca="1">IF(A39=$D$8,ROUND(SUM($G$29:G39),2),IF(A40&gt;$F$8,"",IF(U40&lt;&gt;U39,ROUND(SUM(W40*$F$9*E39/U40,X40*$F$9*E39/U39),2),ROUND(E39*$F$9*D40/U39,2))))</f>
        <v>13171.6</v>
      </c>
      <c r="H40" s="22">
        <f t="shared" ref="H40" ca="1" si="22">IF(A39=$D$8,SUM(H28:H39),IF(A39&gt;$D$8,"",F40+G40))</f>
        <v>29838.269999999997</v>
      </c>
      <c r="I40" s="22" t="str">
        <f t="shared" si="14"/>
        <v/>
      </c>
      <c r="J40" s="22" t="str">
        <f t="shared" si="15"/>
        <v/>
      </c>
      <c r="K40" s="22" t="str">
        <f t="shared" si="16"/>
        <v/>
      </c>
      <c r="L40" s="22" t="str">
        <f t="shared" si="17"/>
        <v/>
      </c>
      <c r="M40" s="22" t="str">
        <f t="shared" si="21"/>
        <v/>
      </c>
      <c r="N40" s="22" t="str">
        <f t="shared" si="18"/>
        <v/>
      </c>
      <c r="O40" s="22" t="str">
        <f t="shared" si="19"/>
        <v/>
      </c>
      <c r="P40" s="22"/>
      <c r="Q40" s="68" t="str">
        <f>IF(A39=$D$8,XIRR(S$28:S39,C$28:C39),"")</f>
        <v/>
      </c>
      <c r="R40" s="22" t="str">
        <f t="shared" si="4"/>
        <v/>
      </c>
      <c r="S40" s="22">
        <f t="shared" ca="1" si="6"/>
        <v>29838.269999999997</v>
      </c>
      <c r="T40" s="15">
        <f t="shared" ca="1" si="7"/>
        <v>2022</v>
      </c>
      <c r="U40" s="15">
        <f t="shared" ca="1" si="8"/>
        <v>365</v>
      </c>
      <c r="V40" s="15">
        <f t="shared" ca="1" si="9"/>
        <v>1</v>
      </c>
      <c r="W40" s="16">
        <f t="shared" ca="1" si="10"/>
        <v>0</v>
      </c>
      <c r="X40" s="17">
        <f t="shared" ca="1" si="11"/>
        <v>31</v>
      </c>
      <c r="Y40" s="15"/>
    </row>
    <row r="41" spans="1:25" x14ac:dyDescent="0.35">
      <c r="A41" s="25">
        <f t="shared" si="12"/>
        <v>13</v>
      </c>
      <c r="B41" s="21">
        <f ca="1">EDATE($B$28,13)</f>
        <v>44621</v>
      </c>
      <c r="C41" s="21">
        <f t="shared" ca="1" si="5"/>
        <v>44621</v>
      </c>
      <c r="D41" s="25">
        <f ca="1">IF(A41&gt;$D$8,"",C41-C40)</f>
        <v>28</v>
      </c>
      <c r="E41" s="22">
        <f>IF(A41&gt;$D$8,"",E40-F41)</f>
        <v>783333.29333333287</v>
      </c>
      <c r="F41" s="22">
        <f>IF(AND(A40="",A42=""),"",IF(A41="",ROUND(SUM($F$29:F40),2),IF(A41=$D$8,$E$28-ROUND(SUM($F$29:F40),2),ROUND($E$28/$D$8,2))))</f>
        <v>16666.669999999998</v>
      </c>
      <c r="G41" s="22">
        <f ca="1">IF(A40=$D$8,ROUND(SUM($G$29:G40),2),IF(A41&gt;$F$8,"",IF(U41&lt;&gt;U40,ROUND(SUM(W41*$F$9*E40/U41,X41*$F$9*E40/U40),2),ROUND(E40*$F$9*D41/U40,2))))</f>
        <v>11654.14</v>
      </c>
      <c r="H41" s="22">
        <f ca="1">IF(A40=$D$8,SUM(H29:H40),IF(A40&gt;$D$8,"",F41+G41))</f>
        <v>28320.809999999998</v>
      </c>
      <c r="I41" s="22" t="str">
        <f t="shared" ref="I41:I89" si="23">IF(A40=$D$8,$I$28,"")</f>
        <v/>
      </c>
      <c r="J41" s="22" t="str">
        <f t="shared" ref="J41:J89" si="24">IF(A40=$D$8,$J$28,"")</f>
        <v/>
      </c>
      <c r="K41" s="22" t="str">
        <f t="shared" ref="K41:K89" si="25">IF(A40=$D$8,$K$28,"")</f>
        <v/>
      </c>
      <c r="L41" s="22" t="str">
        <f t="shared" ref="L41:L89" si="26">IF(A40=$D$8,$L$28,"")</f>
        <v/>
      </c>
      <c r="M41" s="22" t="str">
        <f t="shared" si="21"/>
        <v/>
      </c>
      <c r="N41" s="22" t="str">
        <f t="shared" ref="N41:N89" si="27">IF(A40=$D$8,$N$28,"")</f>
        <v/>
      </c>
      <c r="O41" s="213">
        <f>IF($F$8&gt;12,($P$17),IF($A$40=$F$8,O28,""))</f>
        <v>2500</v>
      </c>
      <c r="P41" s="22"/>
      <c r="Q41" s="68" t="str">
        <f>IF(A40=$D$8,XIRR(S$28:S40,C$28:C40),"")</f>
        <v/>
      </c>
      <c r="R41" s="22" t="str">
        <f t="shared" si="4"/>
        <v/>
      </c>
      <c r="S41" s="22">
        <f t="shared" ca="1" si="6"/>
        <v>30820.809999999998</v>
      </c>
      <c r="T41" s="15">
        <f t="shared" ca="1" si="7"/>
        <v>2022</v>
      </c>
      <c r="U41" s="15">
        <f t="shared" ca="1" si="8"/>
        <v>365</v>
      </c>
      <c r="V41" s="15">
        <f t="shared" ca="1" si="9"/>
        <v>1</v>
      </c>
      <c r="W41" s="16">
        <f t="shared" ca="1" si="10"/>
        <v>0</v>
      </c>
      <c r="X41" s="17">
        <f t="shared" ca="1" si="11"/>
        <v>28</v>
      </c>
      <c r="Y41" s="15"/>
    </row>
    <row r="42" spans="1:25" x14ac:dyDescent="0.35">
      <c r="A42" s="25">
        <f t="shared" si="12"/>
        <v>14</v>
      </c>
      <c r="B42" s="21">
        <f ca="1">EDATE($B$28,14)</f>
        <v>44652</v>
      </c>
      <c r="C42" s="21">
        <f t="shared" ca="1" si="5"/>
        <v>44652</v>
      </c>
      <c r="D42" s="25">
        <f t="shared" ref="D42:D105" ca="1" si="28">IF(A42&gt;$D$8,"",C42-C41)</f>
        <v>31</v>
      </c>
      <c r="E42" s="22">
        <f t="shared" ref="E42:E105" si="29">IF(A42&gt;$D$8,"",E41-F42)</f>
        <v>766666.62333333283</v>
      </c>
      <c r="F42" s="22">
        <f>IF(AND(A41="",A43=""),"",IF(A42="",ROUND(SUM($F$29:F41),2),IF(A42=$D$8,$E$28-ROUND(SUM($F$29:F41),2),ROUND($E$28/$D$8,2))))</f>
        <v>16666.669999999998</v>
      </c>
      <c r="G42" s="22">
        <f ca="1">IF(A41=$D$8,ROUND(SUM($G$29:G41),2),IF(A42&gt;$F$8,"",IF(U42&lt;&gt;U41,ROUND(SUM(W42*$F$9*E41/U42,X42*$F$9*E41/U41),2),ROUND(E41*$F$9*D42/U41,2))))</f>
        <v>12633.99</v>
      </c>
      <c r="H42" s="22">
        <f ca="1">IF(A41=$D$8,SUM($H$29:H41),IF(A41&gt;$D$8,"",F42+G42))</f>
        <v>29300.659999999996</v>
      </c>
      <c r="I42" s="22" t="str">
        <f t="shared" si="23"/>
        <v/>
      </c>
      <c r="J42" s="22" t="str">
        <f t="shared" si="24"/>
        <v/>
      </c>
      <c r="K42" s="22" t="str">
        <f t="shared" si="25"/>
        <v/>
      </c>
      <c r="L42" s="22" t="str">
        <f t="shared" si="26"/>
        <v/>
      </c>
      <c r="M42" s="22" t="str">
        <f t="shared" ref="M42" si="30">IF(A41=$D$8,$M$28,"")</f>
        <v/>
      </c>
      <c r="N42" s="22" t="str">
        <f t="shared" si="27"/>
        <v/>
      </c>
      <c r="O42" s="22" t="str">
        <f t="shared" ref="O42:O88" si="31">IF(A41=$D$8,$O$28,"")</f>
        <v/>
      </c>
      <c r="P42" s="22"/>
      <c r="Q42" s="68" t="str">
        <f>IF(A41=$D$8,XIRR(S$28:S41,C$28:C41),"")</f>
        <v/>
      </c>
      <c r="R42" s="22" t="str">
        <f t="shared" si="4"/>
        <v/>
      </c>
      <c r="S42" s="22">
        <f t="shared" ca="1" si="6"/>
        <v>29300.659999999996</v>
      </c>
      <c r="T42" s="15">
        <f t="shared" ca="1" si="7"/>
        <v>2022</v>
      </c>
      <c r="U42" s="15">
        <f t="shared" ca="1" si="8"/>
        <v>365</v>
      </c>
      <c r="V42" s="15">
        <f t="shared" ca="1" si="9"/>
        <v>1</v>
      </c>
      <c r="W42" s="16">
        <f t="shared" ca="1" si="10"/>
        <v>0</v>
      </c>
      <c r="X42" s="17">
        <f t="shared" ca="1" si="11"/>
        <v>31</v>
      </c>
      <c r="Y42" s="15"/>
    </row>
    <row r="43" spans="1:25" x14ac:dyDescent="0.35">
      <c r="A43" s="25">
        <f t="shared" si="12"/>
        <v>15</v>
      </c>
      <c r="B43" s="21">
        <f ca="1">EDATE($B$28,15)</f>
        <v>44682</v>
      </c>
      <c r="C43" s="21">
        <f t="shared" ca="1" si="5"/>
        <v>44682</v>
      </c>
      <c r="D43" s="25">
        <f t="shared" ca="1" si="28"/>
        <v>30</v>
      </c>
      <c r="E43" s="22">
        <f t="shared" si="29"/>
        <v>749999.95333333279</v>
      </c>
      <c r="F43" s="22">
        <f>IF(AND(A42="",A44=""),"",IF(A43="",ROUND(SUM($F$29:F42),2),IF(A43=$D$8,$E$28-ROUND(SUM($F$29:F42),2),ROUND($E$28/$D$8,2))))</f>
        <v>16666.669999999998</v>
      </c>
      <c r="G43" s="22">
        <f ca="1">IF(A42=$D$8,ROUND(SUM($G$29:G42),2),IF(A43&gt;$F$8,"",IF(U43&lt;&gt;U42,ROUND(SUM(W43*$F$9*E42/U43,X43*$F$9*E42/U42),2),ROUND(E42*$F$9*D43/U42,2))))</f>
        <v>11966.3</v>
      </c>
      <c r="H43" s="22">
        <f ca="1">IF(A42=$D$8,SUM($H$29:H42),IF(A42&gt;$D$8,"",F43+G43))</f>
        <v>28632.969999999998</v>
      </c>
      <c r="I43" s="22" t="str">
        <f t="shared" si="23"/>
        <v/>
      </c>
      <c r="J43" s="22" t="str">
        <f t="shared" si="24"/>
        <v/>
      </c>
      <c r="K43" s="22" t="str">
        <f t="shared" si="25"/>
        <v/>
      </c>
      <c r="L43" s="22" t="str">
        <f t="shared" si="26"/>
        <v/>
      </c>
      <c r="M43" s="22" t="str">
        <f t="shared" ref="M43:M74" si="32">IF(A42=$D$8,$M$28,"")</f>
        <v/>
      </c>
      <c r="N43" s="22" t="str">
        <f t="shared" si="27"/>
        <v/>
      </c>
      <c r="O43" s="22" t="str">
        <f t="shared" si="31"/>
        <v/>
      </c>
      <c r="P43" s="22"/>
      <c r="Q43" s="68" t="str">
        <f>IF(A42=$D$8,XIRR(S$28:S42,C$28:C42),"")</f>
        <v/>
      </c>
      <c r="R43" s="22" t="str">
        <f t="shared" si="4"/>
        <v/>
      </c>
      <c r="S43" s="22">
        <f t="shared" ca="1" si="6"/>
        <v>28632.969999999998</v>
      </c>
      <c r="T43" s="15">
        <f t="shared" ca="1" si="7"/>
        <v>2022</v>
      </c>
      <c r="U43" s="15">
        <f t="shared" ca="1" si="8"/>
        <v>365</v>
      </c>
      <c r="V43" s="15">
        <f t="shared" ca="1" si="9"/>
        <v>1</v>
      </c>
      <c r="W43" s="16">
        <f t="shared" ca="1" si="10"/>
        <v>0</v>
      </c>
      <c r="X43" s="17">
        <f t="shared" ca="1" si="11"/>
        <v>30</v>
      </c>
      <c r="Y43" s="15"/>
    </row>
    <row r="44" spans="1:25" x14ac:dyDescent="0.35">
      <c r="A44" s="25">
        <f t="shared" si="12"/>
        <v>16</v>
      </c>
      <c r="B44" s="21">
        <f ca="1">EDATE($B$28,16)</f>
        <v>44713</v>
      </c>
      <c r="C44" s="21">
        <f t="shared" ca="1" si="5"/>
        <v>44713</v>
      </c>
      <c r="D44" s="25">
        <f t="shared" ca="1" si="28"/>
        <v>31</v>
      </c>
      <c r="E44" s="22">
        <f t="shared" si="29"/>
        <v>733333.28333333274</v>
      </c>
      <c r="F44" s="22">
        <f>IF(AND(A43="",A45=""),"",IF(A44="",ROUND(SUM($F$29:F43),2),IF(A44=$D$8,$E$28-ROUND(SUM($F$29:F43),2),ROUND($E$28/$D$8,2))))</f>
        <v>16666.669999999998</v>
      </c>
      <c r="G44" s="22">
        <f ca="1">IF(A43=$D$8,ROUND(SUM($G$29:G43),2),IF(A44&gt;$F$8,"",IF(U44&lt;&gt;U43,ROUND(SUM(W44*$F$9*E43/U44,X44*$F$9*E43/U43),2),ROUND(E43*$F$9*D44/U43,2))))</f>
        <v>12096.37</v>
      </c>
      <c r="H44" s="22">
        <f ca="1">IF(A43=$D$8,SUM($H$29:H43),IF(A43&gt;$D$8,"",F44+G44))</f>
        <v>28763.040000000001</v>
      </c>
      <c r="I44" s="22" t="str">
        <f t="shared" si="23"/>
        <v/>
      </c>
      <c r="J44" s="22" t="str">
        <f t="shared" si="24"/>
        <v/>
      </c>
      <c r="K44" s="22" t="str">
        <f t="shared" si="25"/>
        <v/>
      </c>
      <c r="L44" s="22" t="str">
        <f t="shared" si="26"/>
        <v/>
      </c>
      <c r="M44" s="22" t="str">
        <f t="shared" si="32"/>
        <v/>
      </c>
      <c r="N44" s="22" t="str">
        <f t="shared" si="27"/>
        <v/>
      </c>
      <c r="O44" s="22" t="str">
        <f t="shared" si="31"/>
        <v/>
      </c>
      <c r="P44" s="22"/>
      <c r="Q44" s="68" t="str">
        <f>IF(A43=$D$8,XIRR(S$28:S43,C$28:C43),"")</f>
        <v/>
      </c>
      <c r="R44" s="22" t="str">
        <f t="shared" si="4"/>
        <v/>
      </c>
      <c r="S44" s="22">
        <f t="shared" ca="1" si="6"/>
        <v>28763.040000000001</v>
      </c>
      <c r="T44" s="15">
        <f t="shared" ca="1" si="7"/>
        <v>2022</v>
      </c>
      <c r="U44" s="15">
        <f t="shared" ca="1" si="8"/>
        <v>365</v>
      </c>
      <c r="V44" s="15">
        <f t="shared" ca="1" si="9"/>
        <v>1</v>
      </c>
      <c r="W44" s="16">
        <f t="shared" ca="1" si="10"/>
        <v>0</v>
      </c>
      <c r="X44" s="17">
        <f t="shared" ca="1" si="11"/>
        <v>31</v>
      </c>
      <c r="Y44" s="15"/>
    </row>
    <row r="45" spans="1:25" x14ac:dyDescent="0.35">
      <c r="A45" s="25">
        <f t="shared" si="12"/>
        <v>17</v>
      </c>
      <c r="B45" s="21">
        <f ca="1">EDATE($B$28,17)</f>
        <v>44743</v>
      </c>
      <c r="C45" s="21">
        <f t="shared" ca="1" si="5"/>
        <v>44743</v>
      </c>
      <c r="D45" s="25">
        <f t="shared" ca="1" si="28"/>
        <v>30</v>
      </c>
      <c r="E45" s="22">
        <f t="shared" si="29"/>
        <v>716666.6133333327</v>
      </c>
      <c r="F45" s="22">
        <f>IF(AND(A44="",A46=""),"",IF(A45="",ROUND(SUM($F$29:F44),2),IF(A45=$D$8,$E$28-ROUND(SUM($F$29:F44),2),ROUND($E$28/$D$8,2))))</f>
        <v>16666.669999999998</v>
      </c>
      <c r="G45" s="22">
        <f ca="1">IF(A44=$D$8,ROUND(SUM($G$29:G44),2),IF(A45&gt;$F$8,"",IF(U45&lt;&gt;U44,ROUND(SUM(W45*$F$9*E44/U45,X45*$F$9*E44/U44),2),ROUND(E44*$F$9*D45/U44,2))))</f>
        <v>11446.03</v>
      </c>
      <c r="H45" s="22">
        <f ca="1">IF(A44=$D$8,SUM($H$29:H44),IF(A44&gt;$D$8,"",F45+G45))</f>
        <v>28112.699999999997</v>
      </c>
      <c r="I45" s="22" t="str">
        <f t="shared" si="23"/>
        <v/>
      </c>
      <c r="J45" s="22" t="str">
        <f t="shared" si="24"/>
        <v/>
      </c>
      <c r="K45" s="22" t="str">
        <f t="shared" si="25"/>
        <v/>
      </c>
      <c r="L45" s="22" t="str">
        <f t="shared" si="26"/>
        <v/>
      </c>
      <c r="M45" s="22" t="str">
        <f t="shared" si="32"/>
        <v/>
      </c>
      <c r="N45" s="22" t="str">
        <f t="shared" si="27"/>
        <v/>
      </c>
      <c r="O45" s="22" t="str">
        <f t="shared" si="31"/>
        <v/>
      </c>
      <c r="P45" s="22"/>
      <c r="Q45" s="68" t="str">
        <f>IF(A44=$D$8,XIRR(S$28:S44,C$28:C44),"")</f>
        <v/>
      </c>
      <c r="R45" s="22" t="str">
        <f t="shared" si="4"/>
        <v/>
      </c>
      <c r="S45" s="22">
        <f t="shared" ca="1" si="6"/>
        <v>28112.699999999997</v>
      </c>
      <c r="T45" s="15">
        <f t="shared" ca="1" si="7"/>
        <v>2022</v>
      </c>
      <c r="U45" s="15">
        <f t="shared" ca="1" si="8"/>
        <v>365</v>
      </c>
      <c r="V45" s="15">
        <f t="shared" ca="1" si="9"/>
        <v>1</v>
      </c>
      <c r="W45" s="16">
        <f t="shared" ca="1" si="10"/>
        <v>0</v>
      </c>
      <c r="X45" s="17">
        <f t="shared" ca="1" si="11"/>
        <v>30</v>
      </c>
      <c r="Y45" s="15"/>
    </row>
    <row r="46" spans="1:25" x14ac:dyDescent="0.35">
      <c r="A46" s="25">
        <f t="shared" si="12"/>
        <v>18</v>
      </c>
      <c r="B46" s="21">
        <f ca="1">EDATE($B$28,18)</f>
        <v>44774</v>
      </c>
      <c r="C46" s="21">
        <f t="shared" ca="1" si="5"/>
        <v>44774</v>
      </c>
      <c r="D46" s="25">
        <f t="shared" ca="1" si="28"/>
        <v>31</v>
      </c>
      <c r="E46" s="22">
        <f t="shared" si="29"/>
        <v>699999.94333333266</v>
      </c>
      <c r="F46" s="22">
        <f>IF(AND(A45="",A47=""),"",IF(A46="",ROUND(SUM($F$29:F45),2),IF(A46=$D$8,$E$28-ROUND(SUM($F$29:F45),2),ROUND($E$28/$D$8,2))))</f>
        <v>16666.669999999998</v>
      </c>
      <c r="G46" s="22">
        <f ca="1">IF(A45=$D$8,ROUND(SUM($G$29:G45),2),IF(A46&gt;$F$8,"",IF(U46&lt;&gt;U45,ROUND(SUM(W46*$F$9*E45/U46,X46*$F$9*E45/U45),2),ROUND(E45*$F$9*D46/U45,2))))</f>
        <v>11558.75</v>
      </c>
      <c r="H46" s="22">
        <f ca="1">IF(A45=$D$8,SUM($H$29:H45),IF(A45&gt;$D$8,"",F46+G46))</f>
        <v>28225.42</v>
      </c>
      <c r="I46" s="22" t="str">
        <f t="shared" si="23"/>
        <v/>
      </c>
      <c r="J46" s="22" t="str">
        <f t="shared" si="24"/>
        <v/>
      </c>
      <c r="K46" s="22" t="str">
        <f t="shared" si="25"/>
        <v/>
      </c>
      <c r="L46" s="22" t="str">
        <f t="shared" si="26"/>
        <v/>
      </c>
      <c r="M46" s="22" t="str">
        <f t="shared" si="32"/>
        <v/>
      </c>
      <c r="N46" s="22" t="str">
        <f t="shared" si="27"/>
        <v/>
      </c>
      <c r="O46" s="22" t="str">
        <f t="shared" si="31"/>
        <v/>
      </c>
      <c r="P46" s="22"/>
      <c r="Q46" s="68" t="str">
        <f>IF(A45=$D$8,XIRR(S$28:S45,C$28:C45),"")</f>
        <v/>
      </c>
      <c r="R46" s="22" t="str">
        <f t="shared" si="4"/>
        <v/>
      </c>
      <c r="S46" s="22">
        <f t="shared" ca="1" si="6"/>
        <v>28225.42</v>
      </c>
      <c r="T46" s="15">
        <f t="shared" ca="1" si="7"/>
        <v>2022</v>
      </c>
      <c r="U46" s="15">
        <f t="shared" ca="1" si="8"/>
        <v>365</v>
      </c>
      <c r="V46" s="15">
        <f t="shared" ca="1" si="9"/>
        <v>1</v>
      </c>
      <c r="W46" s="16">
        <f t="shared" ca="1" si="10"/>
        <v>0</v>
      </c>
      <c r="X46" s="17">
        <f t="shared" ca="1" si="11"/>
        <v>31</v>
      </c>
      <c r="Y46" s="15"/>
    </row>
    <row r="47" spans="1:25" x14ac:dyDescent="0.35">
      <c r="A47" s="25">
        <f t="shared" si="12"/>
        <v>19</v>
      </c>
      <c r="B47" s="21">
        <f ca="1">EDATE($B$28,19)</f>
        <v>44805</v>
      </c>
      <c r="C47" s="21">
        <f t="shared" ca="1" si="5"/>
        <v>44805</v>
      </c>
      <c r="D47" s="25">
        <f t="shared" ca="1" si="28"/>
        <v>31</v>
      </c>
      <c r="E47" s="22">
        <f t="shared" si="29"/>
        <v>683333.27333333262</v>
      </c>
      <c r="F47" s="22">
        <f>IF(AND(A46="",A48=""),"",IF(A47="",ROUND(SUM($F$29:F46),2),IF(A47=$D$8,$E$28-ROUND(SUM($F$29:F46),2),ROUND($E$28/$D$8,2))))</f>
        <v>16666.669999999998</v>
      </c>
      <c r="G47" s="22">
        <f ca="1">IF(A46=$D$8,ROUND(SUM($G$29:G46),2),IF(A47&gt;$F$8,"",IF(U47&lt;&gt;U46,ROUND(SUM(W47*$F$9*E46/U47,X47*$F$9*E46/U46),2),ROUND(E46*$F$9*D47/U46,2))))</f>
        <v>11289.94</v>
      </c>
      <c r="H47" s="22">
        <f ca="1">IF(A46=$D$8,SUM($H$29:H46),IF(A46&gt;$D$8,"",F47+G47))</f>
        <v>27956.61</v>
      </c>
      <c r="I47" s="22" t="str">
        <f t="shared" si="23"/>
        <v/>
      </c>
      <c r="J47" s="22" t="str">
        <f t="shared" si="24"/>
        <v/>
      </c>
      <c r="K47" s="22" t="str">
        <f t="shared" si="25"/>
        <v/>
      </c>
      <c r="L47" s="22" t="str">
        <f t="shared" si="26"/>
        <v/>
      </c>
      <c r="M47" s="22" t="str">
        <f t="shared" si="32"/>
        <v/>
      </c>
      <c r="N47" s="22" t="str">
        <f t="shared" si="27"/>
        <v/>
      </c>
      <c r="O47" s="22" t="str">
        <f t="shared" si="31"/>
        <v/>
      </c>
      <c r="P47" s="22"/>
      <c r="Q47" s="68" t="str">
        <f>IF(A46=$D$8,XIRR(S$28:S46,C$28:C46),"")</f>
        <v/>
      </c>
      <c r="R47" s="22" t="str">
        <f t="shared" si="4"/>
        <v/>
      </c>
      <c r="S47" s="22">
        <f t="shared" ca="1" si="6"/>
        <v>27956.61</v>
      </c>
      <c r="T47" s="15">
        <f t="shared" ca="1" si="7"/>
        <v>2022</v>
      </c>
      <c r="U47" s="15">
        <f t="shared" ca="1" si="8"/>
        <v>365</v>
      </c>
      <c r="V47" s="15">
        <f t="shared" ca="1" si="9"/>
        <v>1</v>
      </c>
      <c r="W47" s="16">
        <f t="shared" ca="1" si="10"/>
        <v>0</v>
      </c>
      <c r="X47" s="17">
        <f t="shared" ca="1" si="11"/>
        <v>31</v>
      </c>
      <c r="Y47" s="15"/>
    </row>
    <row r="48" spans="1:25" x14ac:dyDescent="0.35">
      <c r="A48" s="25">
        <f t="shared" si="12"/>
        <v>20</v>
      </c>
      <c r="B48" s="21">
        <f ca="1">EDATE($B$28,20)</f>
        <v>44835</v>
      </c>
      <c r="C48" s="21">
        <f t="shared" ca="1" si="5"/>
        <v>44835</v>
      </c>
      <c r="D48" s="25">
        <f t="shared" ca="1" si="28"/>
        <v>30</v>
      </c>
      <c r="E48" s="22">
        <f t="shared" si="29"/>
        <v>666666.60333333258</v>
      </c>
      <c r="F48" s="22">
        <f>IF(AND(A47="",A49=""),"",IF(A48="",ROUND(SUM($F$29:F47),2),IF(A48=$D$8,$E$28-ROUND(SUM($F$29:F47),2),ROUND($E$28/$D$8,2))))</f>
        <v>16666.669999999998</v>
      </c>
      <c r="G48" s="22">
        <f ca="1">IF(A47=$D$8,ROUND(SUM($G$29:G47),2),IF(A48&gt;$F$8,"",IF(U48&lt;&gt;U47,ROUND(SUM(W48*$F$9*E47/U48,X48*$F$9*E47/U47),2),ROUND(E47*$F$9*D48/U47,2))))</f>
        <v>10665.62</v>
      </c>
      <c r="H48" s="22">
        <f ca="1">IF(A47=$D$8,SUM($H$29:H47),IF(A47&gt;$D$8,"",F48+G48))</f>
        <v>27332.29</v>
      </c>
      <c r="I48" s="22" t="str">
        <f t="shared" si="23"/>
        <v/>
      </c>
      <c r="J48" s="22" t="str">
        <f t="shared" si="24"/>
        <v/>
      </c>
      <c r="K48" s="22" t="str">
        <f t="shared" si="25"/>
        <v/>
      </c>
      <c r="L48" s="22" t="str">
        <f t="shared" si="26"/>
        <v/>
      </c>
      <c r="M48" s="22" t="str">
        <f t="shared" si="32"/>
        <v/>
      </c>
      <c r="N48" s="22" t="str">
        <f t="shared" si="27"/>
        <v/>
      </c>
      <c r="O48" s="22" t="str">
        <f t="shared" si="31"/>
        <v/>
      </c>
      <c r="P48" s="22"/>
      <c r="Q48" s="68" t="str">
        <f>IF(A47=$D$8,XIRR(S$28:S47,C$28:C47),"")</f>
        <v/>
      </c>
      <c r="R48" s="22" t="str">
        <f t="shared" si="4"/>
        <v/>
      </c>
      <c r="S48" s="22">
        <f t="shared" ca="1" si="6"/>
        <v>27332.29</v>
      </c>
      <c r="T48" s="15">
        <f t="shared" ca="1" si="7"/>
        <v>2022</v>
      </c>
      <c r="U48" s="15">
        <f t="shared" ca="1" si="8"/>
        <v>365</v>
      </c>
      <c r="V48" s="15">
        <f t="shared" ca="1" si="9"/>
        <v>1</v>
      </c>
      <c r="W48" s="16">
        <f t="shared" ca="1" si="10"/>
        <v>0</v>
      </c>
      <c r="X48" s="17">
        <f t="shared" ca="1" si="11"/>
        <v>30</v>
      </c>
      <c r="Y48" s="15"/>
    </row>
    <row r="49" spans="1:25" x14ac:dyDescent="0.35">
      <c r="A49" s="25">
        <f t="shared" si="12"/>
        <v>21</v>
      </c>
      <c r="B49" s="21">
        <f ca="1">EDATE($B$28,21)</f>
        <v>44866</v>
      </c>
      <c r="C49" s="21">
        <f t="shared" ca="1" si="5"/>
        <v>44866</v>
      </c>
      <c r="D49" s="25">
        <f t="shared" ca="1" si="28"/>
        <v>31</v>
      </c>
      <c r="E49" s="22">
        <f t="shared" si="29"/>
        <v>649999.93333333253</v>
      </c>
      <c r="F49" s="22">
        <f>IF(AND(A48="",A50=""),"",IF(A49="",ROUND(SUM($F$29:F48),2),IF(A49=$D$8,$E$28-ROUND(SUM($F$29:F48),2),ROUND($E$28/$D$8,2))))</f>
        <v>16666.669999999998</v>
      </c>
      <c r="G49" s="22">
        <f ca="1">IF(A48=$D$8,ROUND(SUM($G$29:G48),2),IF(A49&gt;$F$8,"",IF(U49&lt;&gt;U48,ROUND(SUM(W49*$F$9*E48/U49,X49*$F$9*E48/U48),2),ROUND(E48*$F$9*D49/U48,2))))</f>
        <v>10752.33</v>
      </c>
      <c r="H49" s="22">
        <f ca="1">IF(A48=$D$8,SUM($H$29:H48),IF(A48&gt;$D$8,"",F49+G49))</f>
        <v>27419</v>
      </c>
      <c r="I49" s="22" t="str">
        <f t="shared" si="23"/>
        <v/>
      </c>
      <c r="J49" s="22" t="str">
        <f t="shared" si="24"/>
        <v/>
      </c>
      <c r="K49" s="22" t="str">
        <f t="shared" si="25"/>
        <v/>
      </c>
      <c r="L49" s="22" t="str">
        <f t="shared" si="26"/>
        <v/>
      </c>
      <c r="M49" s="22" t="str">
        <f t="shared" si="32"/>
        <v/>
      </c>
      <c r="N49" s="22" t="str">
        <f t="shared" si="27"/>
        <v/>
      </c>
      <c r="O49" s="22" t="str">
        <f t="shared" si="31"/>
        <v/>
      </c>
      <c r="P49" s="22"/>
      <c r="Q49" s="68" t="str">
        <f>IF(A48=$D$8,XIRR(S$28:S48,C$28:C48),"")</f>
        <v/>
      </c>
      <c r="R49" s="22" t="str">
        <f t="shared" si="4"/>
        <v/>
      </c>
      <c r="S49" s="22">
        <f t="shared" ca="1" si="6"/>
        <v>27419</v>
      </c>
      <c r="T49" s="15">
        <f t="shared" ca="1" si="7"/>
        <v>2022</v>
      </c>
      <c r="U49" s="15">
        <f t="shared" ca="1" si="8"/>
        <v>365</v>
      </c>
      <c r="V49" s="15">
        <f t="shared" ca="1" si="9"/>
        <v>1</v>
      </c>
      <c r="W49" s="16">
        <f t="shared" ca="1" si="10"/>
        <v>0</v>
      </c>
      <c r="X49" s="17">
        <f t="shared" ca="1" si="11"/>
        <v>31</v>
      </c>
      <c r="Y49" s="15"/>
    </row>
    <row r="50" spans="1:25" x14ac:dyDescent="0.35">
      <c r="A50" s="25">
        <f t="shared" si="12"/>
        <v>22</v>
      </c>
      <c r="B50" s="21">
        <f ca="1">EDATE($B$28,22)</f>
        <v>44896</v>
      </c>
      <c r="C50" s="21">
        <f t="shared" ca="1" si="5"/>
        <v>44896</v>
      </c>
      <c r="D50" s="25">
        <f t="shared" ca="1" si="28"/>
        <v>30</v>
      </c>
      <c r="E50" s="22">
        <f t="shared" si="29"/>
        <v>633333.26333333249</v>
      </c>
      <c r="F50" s="22">
        <f>IF(AND(A49="",A51=""),"",IF(A50="",ROUND(SUM($F$29:F49),2),IF(A50=$D$8,$E$28-ROUND(SUM($F$29:F49),2),ROUND($E$28/$D$8,2))))</f>
        <v>16666.669999999998</v>
      </c>
      <c r="G50" s="22">
        <f ca="1">IF(A49=$D$8,ROUND(SUM($G$29:G49),2),IF(A50&gt;$F$8,"",IF(U50&lt;&gt;U49,ROUND(SUM(W50*$F$9*E49/U50,X50*$F$9*E49/U49),2),ROUND(E49*$F$9*D50/U49,2))))</f>
        <v>10145.34</v>
      </c>
      <c r="H50" s="22">
        <f ca="1">IF(A49=$D$8,SUM($H$29:H49),IF(A49&gt;$D$8,"",F50+G50))</f>
        <v>26812.01</v>
      </c>
      <c r="I50" s="22" t="str">
        <f t="shared" si="23"/>
        <v/>
      </c>
      <c r="J50" s="22" t="str">
        <f t="shared" si="24"/>
        <v/>
      </c>
      <c r="K50" s="22" t="str">
        <f t="shared" si="25"/>
        <v/>
      </c>
      <c r="L50" s="22" t="str">
        <f t="shared" si="26"/>
        <v/>
      </c>
      <c r="M50" s="22" t="str">
        <f t="shared" si="32"/>
        <v/>
      </c>
      <c r="N50" s="22" t="str">
        <f t="shared" si="27"/>
        <v/>
      </c>
      <c r="O50" s="22" t="str">
        <f t="shared" si="31"/>
        <v/>
      </c>
      <c r="P50" s="22"/>
      <c r="Q50" s="68" t="str">
        <f>IF(A49=$D$8,XIRR(S$28:S49,C$28:C49),"")</f>
        <v/>
      </c>
      <c r="R50" s="22" t="str">
        <f t="shared" si="4"/>
        <v/>
      </c>
      <c r="S50" s="22">
        <f t="shared" ca="1" si="6"/>
        <v>26812.01</v>
      </c>
      <c r="T50" s="15">
        <f t="shared" ca="1" si="7"/>
        <v>2022</v>
      </c>
      <c r="U50" s="15">
        <f t="shared" ca="1" si="8"/>
        <v>365</v>
      </c>
      <c r="V50" s="15">
        <f t="shared" ca="1" si="9"/>
        <v>1</v>
      </c>
      <c r="W50" s="16">
        <f t="shared" ca="1" si="10"/>
        <v>0</v>
      </c>
      <c r="X50" s="17">
        <f t="shared" ca="1" si="11"/>
        <v>30</v>
      </c>
      <c r="Y50" s="15"/>
    </row>
    <row r="51" spans="1:25" x14ac:dyDescent="0.35">
      <c r="A51" s="25">
        <f t="shared" si="12"/>
        <v>23</v>
      </c>
      <c r="B51" s="21">
        <f ca="1">EDATE($B$28,23)</f>
        <v>44927</v>
      </c>
      <c r="C51" s="21">
        <f t="shared" ca="1" si="5"/>
        <v>44927</v>
      </c>
      <c r="D51" s="25">
        <f t="shared" ca="1" si="28"/>
        <v>31</v>
      </c>
      <c r="E51" s="22">
        <f t="shared" si="29"/>
        <v>616666.59333333245</v>
      </c>
      <c r="F51" s="22">
        <f>IF(AND(A50="",A52=""),"",IF(A51="",ROUND(SUM($F$29:F50),2),IF(A51=$D$8,$E$28-ROUND(SUM($F$29:F50),2),ROUND($E$28/$D$8,2))))</f>
        <v>16666.669999999998</v>
      </c>
      <c r="G51" s="22">
        <f ca="1">IF(A50=$D$8,ROUND(SUM($G$29:G50),2),IF(A51&gt;$F$8,"",IF(U51&lt;&gt;U50,ROUND(SUM(W51*$F$9*E50/U51,X51*$F$9*E50/U50),2),ROUND(E50*$F$9*D51/U50,2))))</f>
        <v>10214.709999999999</v>
      </c>
      <c r="H51" s="22">
        <f ca="1">IF(A50=$D$8,SUM($H$29:H50),IF(A50&gt;$D$8,"",F51+G51))</f>
        <v>26881.379999999997</v>
      </c>
      <c r="I51" s="22" t="str">
        <f t="shared" si="23"/>
        <v/>
      </c>
      <c r="J51" s="22" t="str">
        <f t="shared" si="24"/>
        <v/>
      </c>
      <c r="K51" s="22" t="str">
        <f t="shared" si="25"/>
        <v/>
      </c>
      <c r="L51" s="22" t="str">
        <f t="shared" si="26"/>
        <v/>
      </c>
      <c r="M51" s="22" t="str">
        <f t="shared" si="32"/>
        <v/>
      </c>
      <c r="N51" s="22" t="str">
        <f t="shared" si="27"/>
        <v/>
      </c>
      <c r="O51" s="22" t="str">
        <f t="shared" si="31"/>
        <v/>
      </c>
      <c r="P51" s="22"/>
      <c r="Q51" s="68" t="str">
        <f>IF(A50=$D$8,XIRR(S$28:S50,C$28:C50),"")</f>
        <v/>
      </c>
      <c r="R51" s="22" t="str">
        <f t="shared" si="4"/>
        <v/>
      </c>
      <c r="S51" s="22">
        <f t="shared" ca="1" si="6"/>
        <v>26881.379999999997</v>
      </c>
      <c r="T51" s="15">
        <f t="shared" ca="1" si="7"/>
        <v>2023</v>
      </c>
      <c r="U51" s="15">
        <f t="shared" ca="1" si="8"/>
        <v>365</v>
      </c>
      <c r="V51" s="15">
        <f t="shared" ca="1" si="9"/>
        <v>1</v>
      </c>
      <c r="W51" s="16">
        <f t="shared" ca="1" si="10"/>
        <v>0</v>
      </c>
      <c r="X51" s="17">
        <f t="shared" ca="1" si="11"/>
        <v>31</v>
      </c>
      <c r="Y51" s="15"/>
    </row>
    <row r="52" spans="1:25" x14ac:dyDescent="0.35">
      <c r="A52" s="25">
        <f t="shared" si="12"/>
        <v>24</v>
      </c>
      <c r="B52" s="21">
        <f ca="1">EDATE($B$28,24)</f>
        <v>44958</v>
      </c>
      <c r="C52" s="21">
        <f t="shared" ca="1" si="5"/>
        <v>44958</v>
      </c>
      <c r="D52" s="25">
        <f t="shared" ca="1" si="28"/>
        <v>31</v>
      </c>
      <c r="E52" s="22">
        <f t="shared" si="29"/>
        <v>599999.92333333241</v>
      </c>
      <c r="F52" s="22">
        <f>IF(AND(A51="",A53=""),"",IF(A52="",ROUND(SUM($F$29:F51),2),IF(A52=$D$8,$E$28-ROUND(SUM($F$29:F51),2),ROUND($E$28/$D$8,2))))</f>
        <v>16666.669999999998</v>
      </c>
      <c r="G52" s="22">
        <f ca="1">IF(A51=$D$8,ROUND(SUM($G$29:G51),2),IF(A52&gt;$F$8,"",IF(U52&lt;&gt;U51,ROUND(SUM(W52*$F$9*E51/U52,X52*$F$9*E51/U51),2),ROUND(E51*$F$9*D52/U51,2))))</f>
        <v>9945.9</v>
      </c>
      <c r="H52" s="22">
        <f ca="1">IF(A51=$D$8,SUM($H$29:H51),IF(A51&gt;$D$8,"",F52+G52))</f>
        <v>26612.57</v>
      </c>
      <c r="I52" s="22" t="str">
        <f t="shared" si="23"/>
        <v/>
      </c>
      <c r="J52" s="22" t="str">
        <f t="shared" si="24"/>
        <v/>
      </c>
      <c r="K52" s="22" t="str">
        <f t="shared" si="25"/>
        <v/>
      </c>
      <c r="L52" s="22" t="str">
        <f t="shared" si="26"/>
        <v/>
      </c>
      <c r="M52" s="22" t="str">
        <f t="shared" si="32"/>
        <v/>
      </c>
      <c r="N52" s="22" t="str">
        <f t="shared" si="27"/>
        <v/>
      </c>
      <c r="O52" s="22" t="str">
        <f t="shared" si="31"/>
        <v/>
      </c>
      <c r="P52" s="22"/>
      <c r="Q52" s="68" t="str">
        <f>IF(A51=$D$8,XIRR(S$28:S51,C$28:C51),"")</f>
        <v/>
      </c>
      <c r="R52" s="22" t="str">
        <f t="shared" si="4"/>
        <v/>
      </c>
      <c r="S52" s="22">
        <f t="shared" ca="1" si="6"/>
        <v>26612.57</v>
      </c>
      <c r="T52" s="15">
        <f t="shared" ca="1" si="7"/>
        <v>2023</v>
      </c>
      <c r="U52" s="15">
        <f t="shared" ca="1" si="8"/>
        <v>365</v>
      </c>
      <c r="V52" s="15">
        <f t="shared" ca="1" si="9"/>
        <v>1</v>
      </c>
      <c r="W52" s="16">
        <f t="shared" ca="1" si="10"/>
        <v>0</v>
      </c>
      <c r="X52" s="17">
        <f t="shared" ca="1" si="11"/>
        <v>31</v>
      </c>
      <c r="Y52" s="15"/>
    </row>
    <row r="53" spans="1:25" x14ac:dyDescent="0.35">
      <c r="A53" s="25">
        <f t="shared" si="12"/>
        <v>25</v>
      </c>
      <c r="B53" s="21">
        <f ca="1">EDATE($B$28,25)</f>
        <v>44986</v>
      </c>
      <c r="C53" s="21">
        <f t="shared" ca="1" si="5"/>
        <v>44986</v>
      </c>
      <c r="D53" s="25">
        <f t="shared" ca="1" si="28"/>
        <v>28</v>
      </c>
      <c r="E53" s="22">
        <f t="shared" si="29"/>
        <v>583333.25333333237</v>
      </c>
      <c r="F53" s="22">
        <f>IF(AND(A52="",A54=""),"",IF(A53="",ROUND(SUM($F$29:F52),2),IF(A53=$D$8,$E$28-ROUND(SUM($F$29:F52),2),ROUND($E$28/$D$8,2))))</f>
        <v>16666.669999999998</v>
      </c>
      <c r="G53" s="22">
        <f ca="1">IF(A52=$D$8,ROUND(SUM($G$29:G52),2),IF(A53&gt;$F$8,"",IF(U53&lt;&gt;U52,ROUND(SUM(W53*$F$9*E52/U53,X53*$F$9*E52/U52),2),ROUND(E52*$F$9*D53/U52,2))))</f>
        <v>8740.6</v>
      </c>
      <c r="H53" s="22">
        <f ca="1">IF(A52=$D$8,SUM($H$29:H52),IF(A52&gt;$D$8,"",F53+G53))</f>
        <v>25407.269999999997</v>
      </c>
      <c r="I53" s="22" t="str">
        <f t="shared" si="23"/>
        <v/>
      </c>
      <c r="J53" s="22" t="str">
        <f t="shared" si="24"/>
        <v/>
      </c>
      <c r="K53" s="22" t="str">
        <f t="shared" si="25"/>
        <v/>
      </c>
      <c r="L53" s="22" t="str">
        <f t="shared" si="26"/>
        <v/>
      </c>
      <c r="M53" s="22" t="str">
        <f t="shared" si="32"/>
        <v/>
      </c>
      <c r="N53" s="22" t="str">
        <f t="shared" si="27"/>
        <v/>
      </c>
      <c r="O53" s="213">
        <f>IF($F$8&gt;24,($P$17),IF($A$52=$F$8,O41+O28,""))</f>
        <v>2500</v>
      </c>
      <c r="P53" s="22"/>
      <c r="Q53" s="68" t="str">
        <f>IF(A52=$D$8,XIRR(S$28:S52,C$28:C52),"")</f>
        <v/>
      </c>
      <c r="R53" s="22" t="str">
        <f t="shared" si="4"/>
        <v/>
      </c>
      <c r="S53" s="22">
        <f t="shared" ca="1" si="6"/>
        <v>27907.269999999997</v>
      </c>
      <c r="T53" s="15">
        <f t="shared" ca="1" si="7"/>
        <v>2023</v>
      </c>
      <c r="U53" s="15">
        <f t="shared" ca="1" si="8"/>
        <v>365</v>
      </c>
      <c r="V53" s="15">
        <f t="shared" ca="1" si="9"/>
        <v>1</v>
      </c>
      <c r="W53" s="16">
        <f t="shared" ca="1" si="10"/>
        <v>0</v>
      </c>
      <c r="X53" s="17">
        <f t="shared" ca="1" si="11"/>
        <v>28</v>
      </c>
      <c r="Y53" s="15"/>
    </row>
    <row r="54" spans="1:25" x14ac:dyDescent="0.35">
      <c r="A54" s="25">
        <f t="shared" si="12"/>
        <v>26</v>
      </c>
      <c r="B54" s="21">
        <f ca="1">EDATE($B$28,26)</f>
        <v>45017</v>
      </c>
      <c r="C54" s="21">
        <f t="shared" ca="1" si="5"/>
        <v>45017</v>
      </c>
      <c r="D54" s="25">
        <f t="shared" ca="1" si="28"/>
        <v>31</v>
      </c>
      <c r="E54" s="22">
        <f t="shared" si="29"/>
        <v>566666.58333333232</v>
      </c>
      <c r="F54" s="22">
        <f>IF(AND(A53="",A55=""),"",IF(A54="",ROUND(SUM($F$29:F53),2),IF(A54=$D$8,$E$28-ROUND(SUM($F$29:F53),2),ROUND($E$28/$D$8,2))))</f>
        <v>16666.669999999998</v>
      </c>
      <c r="G54" s="22">
        <f ca="1">IF(A53=$D$8,ROUND(SUM($G$29:G53),2),IF(A54&gt;$F$8,"",IF(U54&lt;&gt;U53,ROUND(SUM(W54*$F$9*E53/U54,X54*$F$9*E53/U53),2),ROUND(E53*$F$9*D54/U53,2))))</f>
        <v>9408.2900000000009</v>
      </c>
      <c r="H54" s="22">
        <f ca="1">IF(A53=$D$8,SUM($H$29:H53),IF(A53&gt;$D$8,"",F54+G54))</f>
        <v>26074.959999999999</v>
      </c>
      <c r="I54" s="22" t="str">
        <f t="shared" si="23"/>
        <v/>
      </c>
      <c r="J54" s="22" t="str">
        <f t="shared" si="24"/>
        <v/>
      </c>
      <c r="K54" s="22" t="str">
        <f t="shared" si="25"/>
        <v/>
      </c>
      <c r="L54" s="22" t="str">
        <f t="shared" si="26"/>
        <v/>
      </c>
      <c r="M54" s="22" t="str">
        <f t="shared" si="32"/>
        <v/>
      </c>
      <c r="N54" s="22" t="str">
        <f t="shared" si="27"/>
        <v/>
      </c>
      <c r="O54" s="22" t="str">
        <f t="shared" si="31"/>
        <v/>
      </c>
      <c r="P54" s="22"/>
      <c r="Q54" s="68" t="str">
        <f>IF(A53=$D$8,XIRR(S$28:S53,C$28:C53),"")</f>
        <v/>
      </c>
      <c r="R54" s="22" t="str">
        <f t="shared" si="4"/>
        <v/>
      </c>
      <c r="S54" s="22">
        <f t="shared" ca="1" si="6"/>
        <v>26074.959999999999</v>
      </c>
      <c r="T54" s="15">
        <f t="shared" ca="1" si="7"/>
        <v>2023</v>
      </c>
      <c r="U54" s="15">
        <f t="shared" ca="1" si="8"/>
        <v>365</v>
      </c>
      <c r="V54" s="15">
        <f t="shared" ca="1" si="9"/>
        <v>1</v>
      </c>
      <c r="W54" s="16">
        <f t="shared" ca="1" si="10"/>
        <v>0</v>
      </c>
      <c r="X54" s="17">
        <f t="shared" ca="1" si="11"/>
        <v>31</v>
      </c>
      <c r="Y54" s="15"/>
    </row>
    <row r="55" spans="1:25" x14ac:dyDescent="0.35">
      <c r="A55" s="25">
        <f t="shared" si="12"/>
        <v>27</v>
      </c>
      <c r="B55" s="21">
        <f ca="1">EDATE($B$28,27)</f>
        <v>45047</v>
      </c>
      <c r="C55" s="21">
        <f t="shared" ca="1" si="5"/>
        <v>45047</v>
      </c>
      <c r="D55" s="25">
        <f t="shared" ca="1" si="28"/>
        <v>30</v>
      </c>
      <c r="E55" s="22">
        <f t="shared" si="29"/>
        <v>549999.91333333228</v>
      </c>
      <c r="F55" s="22">
        <f>IF(AND(A54="",A56=""),"",IF(A55="",ROUND(SUM($F$29:F54),2),IF(A55=$D$8,$E$28-ROUND(SUM($F$29:F54),2),ROUND($E$28/$D$8,2))))</f>
        <v>16666.669999999998</v>
      </c>
      <c r="G55" s="22">
        <f ca="1">IF(A54=$D$8,ROUND(SUM($G$29:G54),2),IF(A55&gt;$F$8,"",IF(U55&lt;&gt;U54,ROUND(SUM(W55*$F$9*E54/U55,X55*$F$9*E54/U54),2),ROUND(E54*$F$9*D55/U54,2))))</f>
        <v>8844.66</v>
      </c>
      <c r="H55" s="22">
        <f ca="1">IF(A54=$D$8,SUM($H$29:H54),IF(A54&gt;$D$8,"",F55+G55))</f>
        <v>25511.329999999998</v>
      </c>
      <c r="I55" s="22" t="str">
        <f t="shared" si="23"/>
        <v/>
      </c>
      <c r="J55" s="22" t="str">
        <f t="shared" si="24"/>
        <v/>
      </c>
      <c r="K55" s="22" t="str">
        <f t="shared" si="25"/>
        <v/>
      </c>
      <c r="L55" s="22" t="str">
        <f t="shared" si="26"/>
        <v/>
      </c>
      <c r="M55" s="22" t="str">
        <f t="shared" si="32"/>
        <v/>
      </c>
      <c r="N55" s="22" t="str">
        <f t="shared" si="27"/>
        <v/>
      </c>
      <c r="O55" s="22" t="str">
        <f t="shared" si="31"/>
        <v/>
      </c>
      <c r="P55" s="22"/>
      <c r="Q55" s="68" t="str">
        <f>IF(A54=$D$8,XIRR(S$28:S54,C$28:C54),"")</f>
        <v/>
      </c>
      <c r="R55" s="22" t="str">
        <f t="shared" si="4"/>
        <v/>
      </c>
      <c r="S55" s="22">
        <f t="shared" ca="1" si="6"/>
        <v>25511.329999999998</v>
      </c>
      <c r="T55" s="15">
        <f t="shared" ca="1" si="7"/>
        <v>2023</v>
      </c>
      <c r="U55" s="15">
        <f t="shared" ca="1" si="8"/>
        <v>365</v>
      </c>
      <c r="V55" s="15">
        <f t="shared" ca="1" si="9"/>
        <v>1</v>
      </c>
      <c r="W55" s="16">
        <f t="shared" ca="1" si="10"/>
        <v>0</v>
      </c>
      <c r="X55" s="17">
        <f t="shared" ca="1" si="11"/>
        <v>30</v>
      </c>
      <c r="Y55" s="15"/>
    </row>
    <row r="56" spans="1:25" x14ac:dyDescent="0.35">
      <c r="A56" s="25">
        <f t="shared" si="12"/>
        <v>28</v>
      </c>
      <c r="B56" s="21">
        <f ca="1">EDATE($B$28,28)</f>
        <v>45078</v>
      </c>
      <c r="C56" s="21">
        <f t="shared" ca="1" si="5"/>
        <v>45078</v>
      </c>
      <c r="D56" s="25">
        <f t="shared" ca="1" si="28"/>
        <v>31</v>
      </c>
      <c r="E56" s="22">
        <f t="shared" si="29"/>
        <v>533333.24333333224</v>
      </c>
      <c r="F56" s="22">
        <f>IF(AND(A55="",A57=""),"",IF(A56="",ROUND(SUM($F$29:F55),2),IF(A56=$D$8,$E$28-ROUND(SUM($F$29:F55),2),ROUND($E$28/$D$8,2))))</f>
        <v>16666.669999999998</v>
      </c>
      <c r="G56" s="22">
        <f ca="1">IF(A55=$D$8,ROUND(SUM($G$29:G55),2),IF(A56&gt;$F$8,"",IF(U56&lt;&gt;U55,ROUND(SUM(W56*$F$9*E55/U56,X56*$F$9*E55/U55),2),ROUND(E55*$F$9*D56/U55,2))))</f>
        <v>8870.67</v>
      </c>
      <c r="H56" s="22">
        <f ca="1">IF(A55=$D$8,SUM($H$29:H55),IF(A55&gt;$D$8,"",F56+G56))</f>
        <v>25537.339999999997</v>
      </c>
      <c r="I56" s="22" t="str">
        <f t="shared" si="23"/>
        <v/>
      </c>
      <c r="J56" s="22" t="str">
        <f t="shared" si="24"/>
        <v/>
      </c>
      <c r="K56" s="22" t="str">
        <f t="shared" si="25"/>
        <v/>
      </c>
      <c r="L56" s="22" t="str">
        <f t="shared" si="26"/>
        <v/>
      </c>
      <c r="M56" s="22" t="str">
        <f t="shared" si="32"/>
        <v/>
      </c>
      <c r="N56" s="22" t="str">
        <f t="shared" si="27"/>
        <v/>
      </c>
      <c r="O56" s="22" t="str">
        <f t="shared" si="31"/>
        <v/>
      </c>
      <c r="P56" s="22"/>
      <c r="Q56" s="68" t="str">
        <f>IF(A55=$D$8,XIRR(S$28:S55,C$28:C55),"")</f>
        <v/>
      </c>
      <c r="R56" s="22" t="str">
        <f t="shared" si="4"/>
        <v/>
      </c>
      <c r="S56" s="22">
        <f t="shared" ca="1" si="6"/>
        <v>25537.339999999997</v>
      </c>
      <c r="T56" s="15">
        <f t="shared" ca="1" si="7"/>
        <v>2023</v>
      </c>
      <c r="U56" s="15">
        <f t="shared" ca="1" si="8"/>
        <v>365</v>
      </c>
      <c r="V56" s="15">
        <f t="shared" ca="1" si="9"/>
        <v>1</v>
      </c>
      <c r="W56" s="16">
        <f t="shared" ca="1" si="10"/>
        <v>0</v>
      </c>
      <c r="X56" s="17">
        <f t="shared" ca="1" si="11"/>
        <v>31</v>
      </c>
      <c r="Y56" s="15"/>
    </row>
    <row r="57" spans="1:25" x14ac:dyDescent="0.35">
      <c r="A57" s="25">
        <f t="shared" si="12"/>
        <v>29</v>
      </c>
      <c r="B57" s="21">
        <f ca="1">EDATE($B$28,29)</f>
        <v>45108</v>
      </c>
      <c r="C57" s="21">
        <f t="shared" ca="1" si="5"/>
        <v>45108</v>
      </c>
      <c r="D57" s="25">
        <f t="shared" ca="1" si="28"/>
        <v>30</v>
      </c>
      <c r="E57" s="22">
        <f t="shared" si="29"/>
        <v>516666.57333333226</v>
      </c>
      <c r="F57" s="22">
        <f>IF(AND(A56="",A58=""),"",IF(A57="",ROUND(SUM($F$29:F56),2),IF(A57=$D$8,$E$28-ROUND(SUM($F$29:F56),2),ROUND($E$28/$D$8,2))))</f>
        <v>16666.669999999998</v>
      </c>
      <c r="G57" s="22">
        <f ca="1">IF(A56=$D$8,ROUND(SUM($G$29:G56),2),IF(A57&gt;$F$8,"",IF(U57&lt;&gt;U56,ROUND(SUM(W57*$F$9*E56/U57,X57*$F$9*E56/U56),2),ROUND(E56*$F$9*D57/U56,2))))</f>
        <v>8324.3799999999992</v>
      </c>
      <c r="H57" s="22">
        <f ca="1">IF(A56=$D$8,SUM($H$29:H56),IF(A56&gt;$D$8,"",F57+G57))</f>
        <v>24991.049999999996</v>
      </c>
      <c r="I57" s="22" t="str">
        <f t="shared" si="23"/>
        <v/>
      </c>
      <c r="J57" s="22" t="str">
        <f t="shared" si="24"/>
        <v/>
      </c>
      <c r="K57" s="22" t="str">
        <f t="shared" si="25"/>
        <v/>
      </c>
      <c r="L57" s="22" t="str">
        <f t="shared" si="26"/>
        <v/>
      </c>
      <c r="M57" s="22" t="str">
        <f t="shared" si="32"/>
        <v/>
      </c>
      <c r="N57" s="22" t="str">
        <f t="shared" si="27"/>
        <v/>
      </c>
      <c r="O57" s="22" t="str">
        <f t="shared" si="31"/>
        <v/>
      </c>
      <c r="P57" s="22"/>
      <c r="Q57" s="68" t="str">
        <f>IF(A56=$D$8,XIRR(S$28:S56,C$28:C56),"")</f>
        <v/>
      </c>
      <c r="R57" s="22" t="str">
        <f t="shared" si="4"/>
        <v/>
      </c>
      <c r="S57" s="22">
        <f t="shared" ca="1" si="6"/>
        <v>24991.049999999996</v>
      </c>
      <c r="T57" s="15">
        <f t="shared" ca="1" si="7"/>
        <v>2023</v>
      </c>
      <c r="U57" s="15">
        <f t="shared" ca="1" si="8"/>
        <v>365</v>
      </c>
      <c r="V57" s="15">
        <f t="shared" ca="1" si="9"/>
        <v>1</v>
      </c>
      <c r="W57" s="16">
        <f t="shared" ca="1" si="10"/>
        <v>0</v>
      </c>
      <c r="X57" s="17">
        <f t="shared" ca="1" si="11"/>
        <v>30</v>
      </c>
      <c r="Y57" s="15"/>
    </row>
    <row r="58" spans="1:25" x14ac:dyDescent="0.35">
      <c r="A58" s="25">
        <f t="shared" si="12"/>
        <v>30</v>
      </c>
      <c r="B58" s="21">
        <f ca="1">EDATE($B$28,30)</f>
        <v>45139</v>
      </c>
      <c r="C58" s="21">
        <f t="shared" ca="1" si="5"/>
        <v>45139</v>
      </c>
      <c r="D58" s="25">
        <f t="shared" ca="1" si="28"/>
        <v>31</v>
      </c>
      <c r="E58" s="22">
        <f t="shared" si="29"/>
        <v>499999.90333333227</v>
      </c>
      <c r="F58" s="22">
        <f>IF(AND(A57="",A59=""),"",IF(A58="",ROUND(SUM($F$29:F57),2),IF(A58=$D$8,$E$28-ROUND(SUM($F$29:F57),2),ROUND($E$28/$D$8,2))))</f>
        <v>16666.669999999998</v>
      </c>
      <c r="G58" s="22">
        <f ca="1">IF(A57=$D$8,ROUND(SUM($G$29:G57),2),IF(A58&gt;$F$8,"",IF(U58&lt;&gt;U57,ROUND(SUM(W58*$F$9*E57/U58,X58*$F$9*E57/U57),2),ROUND(E57*$F$9*D58/U57,2))))</f>
        <v>8333.0499999999993</v>
      </c>
      <c r="H58" s="22">
        <f ca="1">IF(A57=$D$8,SUM($H$29:H57),IF(A57&gt;$D$8,"",F58+G58))</f>
        <v>24999.719999999998</v>
      </c>
      <c r="I58" s="22" t="str">
        <f t="shared" si="23"/>
        <v/>
      </c>
      <c r="J58" s="22" t="str">
        <f t="shared" si="24"/>
        <v/>
      </c>
      <c r="K58" s="22" t="str">
        <f t="shared" si="25"/>
        <v/>
      </c>
      <c r="L58" s="22" t="str">
        <f t="shared" si="26"/>
        <v/>
      </c>
      <c r="M58" s="22" t="str">
        <f t="shared" si="32"/>
        <v/>
      </c>
      <c r="N58" s="22" t="str">
        <f t="shared" si="27"/>
        <v/>
      </c>
      <c r="O58" s="22" t="str">
        <f t="shared" si="31"/>
        <v/>
      </c>
      <c r="P58" s="22"/>
      <c r="Q58" s="68" t="str">
        <f>IF(A57=$D$8,XIRR(S$28:S57,C$28:C57),"")</f>
        <v/>
      </c>
      <c r="R58" s="22" t="str">
        <f t="shared" si="4"/>
        <v/>
      </c>
      <c r="S58" s="22">
        <f t="shared" ca="1" si="6"/>
        <v>24999.719999999998</v>
      </c>
      <c r="T58" s="15">
        <f t="shared" ca="1" si="7"/>
        <v>2023</v>
      </c>
      <c r="U58" s="15">
        <f t="shared" ca="1" si="8"/>
        <v>365</v>
      </c>
      <c r="V58" s="15">
        <f t="shared" ca="1" si="9"/>
        <v>1</v>
      </c>
      <c r="W58" s="16">
        <f t="shared" ca="1" si="10"/>
        <v>0</v>
      </c>
      <c r="X58" s="17">
        <f t="shared" ca="1" si="11"/>
        <v>31</v>
      </c>
      <c r="Y58" s="15"/>
    </row>
    <row r="59" spans="1:25" x14ac:dyDescent="0.35">
      <c r="A59" s="25">
        <f t="shared" si="12"/>
        <v>31</v>
      </c>
      <c r="B59" s="21">
        <f ca="1">EDATE($B$28,31)</f>
        <v>45170</v>
      </c>
      <c r="C59" s="21">
        <f t="shared" ca="1" si="5"/>
        <v>45170</v>
      </c>
      <c r="D59" s="25">
        <f t="shared" ca="1" si="28"/>
        <v>31</v>
      </c>
      <c r="E59" s="22">
        <f t="shared" si="29"/>
        <v>483333.23333333229</v>
      </c>
      <c r="F59" s="22">
        <f>IF(AND(A58="",A60=""),"",IF(A59="",ROUND(SUM($F$29:F58),2),IF(A59=$D$8,$E$28-ROUND(SUM($F$29:F58),2),ROUND($E$28/$D$8,2))))</f>
        <v>16666.669999999998</v>
      </c>
      <c r="G59" s="22">
        <f ca="1">IF(A58=$D$8,ROUND(SUM($G$29:G58),2),IF(A59&gt;$F$8,"",IF(U59&lt;&gt;U58,ROUND(SUM(W59*$F$9*E58/U59,X59*$F$9*E58/U58),2),ROUND(E58*$F$9*D59/U58,2))))</f>
        <v>8064.25</v>
      </c>
      <c r="H59" s="22">
        <f ca="1">IF(A58=$D$8,SUM($H$29:H58),IF(A58&gt;$D$8,"",F59+G59))</f>
        <v>24730.92</v>
      </c>
      <c r="I59" s="22" t="str">
        <f t="shared" si="23"/>
        <v/>
      </c>
      <c r="J59" s="22" t="str">
        <f t="shared" si="24"/>
        <v/>
      </c>
      <c r="K59" s="22" t="str">
        <f t="shared" si="25"/>
        <v/>
      </c>
      <c r="L59" s="22" t="str">
        <f t="shared" si="26"/>
        <v/>
      </c>
      <c r="M59" s="22" t="str">
        <f t="shared" si="32"/>
        <v/>
      </c>
      <c r="N59" s="22" t="str">
        <f t="shared" si="27"/>
        <v/>
      </c>
      <c r="O59" s="22" t="str">
        <f t="shared" si="31"/>
        <v/>
      </c>
      <c r="P59" s="22"/>
      <c r="Q59" s="68" t="str">
        <f>IF(A58=$D$8,XIRR(S$28:S58,C$28:C58),"")</f>
        <v/>
      </c>
      <c r="R59" s="22" t="str">
        <f t="shared" si="4"/>
        <v/>
      </c>
      <c r="S59" s="22">
        <f t="shared" ca="1" si="6"/>
        <v>24730.92</v>
      </c>
      <c r="T59" s="15">
        <f t="shared" ca="1" si="7"/>
        <v>2023</v>
      </c>
      <c r="U59" s="15">
        <f t="shared" ca="1" si="8"/>
        <v>365</v>
      </c>
      <c r="V59" s="15">
        <f t="shared" ca="1" si="9"/>
        <v>1</v>
      </c>
      <c r="W59" s="16">
        <f t="shared" ca="1" si="10"/>
        <v>0</v>
      </c>
      <c r="X59" s="17">
        <f t="shared" ca="1" si="11"/>
        <v>31</v>
      </c>
      <c r="Y59" s="15"/>
    </row>
    <row r="60" spans="1:25" x14ac:dyDescent="0.35">
      <c r="A60" s="25">
        <f t="shared" si="12"/>
        <v>32</v>
      </c>
      <c r="B60" s="21">
        <f ca="1">EDATE($B$28,32)</f>
        <v>45200</v>
      </c>
      <c r="C60" s="21">
        <f t="shared" ca="1" si="5"/>
        <v>45200</v>
      </c>
      <c r="D60" s="25">
        <f t="shared" ca="1" si="28"/>
        <v>30</v>
      </c>
      <c r="E60" s="22">
        <f t="shared" si="29"/>
        <v>466666.56333333231</v>
      </c>
      <c r="F60" s="22">
        <f>IF(AND(A59="",A61=""),"",IF(A60="",ROUND(SUM($F$29:F59),2),IF(A60=$D$8,$E$28-ROUND(SUM($F$29:F59),2),ROUND($E$28/$D$8,2))))</f>
        <v>16666.669999999998</v>
      </c>
      <c r="G60" s="22">
        <f ca="1">IF(A59=$D$8,ROUND(SUM($G$29:G59),2),IF(A60&gt;$F$8,"",IF(U60&lt;&gt;U59,ROUND(SUM(W60*$F$9*E59/U60,X60*$F$9*E59/U59),2),ROUND(E59*$F$9*D60/U59,2))))</f>
        <v>7543.97</v>
      </c>
      <c r="H60" s="22">
        <f ca="1">IF(A59=$D$8,SUM($H$29:H59),IF(A59&gt;$D$8,"",F60+G60))</f>
        <v>24210.639999999999</v>
      </c>
      <c r="I60" s="22" t="str">
        <f t="shared" si="23"/>
        <v/>
      </c>
      <c r="J60" s="22" t="str">
        <f t="shared" si="24"/>
        <v/>
      </c>
      <c r="K60" s="22" t="str">
        <f t="shared" si="25"/>
        <v/>
      </c>
      <c r="L60" s="22" t="str">
        <f t="shared" si="26"/>
        <v/>
      </c>
      <c r="M60" s="22" t="str">
        <f t="shared" si="32"/>
        <v/>
      </c>
      <c r="N60" s="22" t="str">
        <f t="shared" si="27"/>
        <v/>
      </c>
      <c r="O60" s="22" t="str">
        <f t="shared" si="31"/>
        <v/>
      </c>
      <c r="P60" s="22"/>
      <c r="Q60" s="68" t="str">
        <f>IF(A59=$D$8,XIRR(S$28:S59,C$28:C59),"")</f>
        <v/>
      </c>
      <c r="R60" s="22" t="str">
        <f t="shared" si="4"/>
        <v/>
      </c>
      <c r="S60" s="22">
        <f t="shared" ca="1" si="6"/>
        <v>24210.639999999999</v>
      </c>
      <c r="T60" s="15">
        <f t="shared" ca="1" si="7"/>
        <v>2023</v>
      </c>
      <c r="U60" s="15">
        <f t="shared" ca="1" si="8"/>
        <v>365</v>
      </c>
      <c r="V60" s="15">
        <f t="shared" ca="1" si="9"/>
        <v>1</v>
      </c>
      <c r="W60" s="16">
        <f t="shared" ca="1" si="10"/>
        <v>0</v>
      </c>
      <c r="X60" s="17">
        <f t="shared" ca="1" si="11"/>
        <v>30</v>
      </c>
      <c r="Y60" s="15"/>
    </row>
    <row r="61" spans="1:25" x14ac:dyDescent="0.35">
      <c r="A61" s="25">
        <f t="shared" si="12"/>
        <v>33</v>
      </c>
      <c r="B61" s="21">
        <f ca="1">EDATE($B$28,33)</f>
        <v>45231</v>
      </c>
      <c r="C61" s="21">
        <f t="shared" ca="1" si="5"/>
        <v>45231</v>
      </c>
      <c r="D61" s="25">
        <f t="shared" ca="1" si="28"/>
        <v>31</v>
      </c>
      <c r="E61" s="22">
        <f t="shared" si="29"/>
        <v>449999.89333333232</v>
      </c>
      <c r="F61" s="22">
        <f>IF(AND(A60="",A62=""),"",IF(A61="",ROUND(SUM($F$29:F60),2),IF(A61=$D$8,$E$28-ROUND(SUM($F$29:F60),2),ROUND($E$28/$D$8,2))))</f>
        <v>16666.669999999998</v>
      </c>
      <c r="G61" s="22">
        <f ca="1">IF(A60=$D$8,ROUND(SUM($G$29:G60),2),IF(A61&gt;$F$8,"",IF(U61&lt;&gt;U60,ROUND(SUM(W61*$F$9*E60/U61,X61*$F$9*E60/U60),2),ROUND(E60*$F$9*D61/U60,2))))</f>
        <v>7526.63</v>
      </c>
      <c r="H61" s="22">
        <f ca="1">IF(A60=$D$8,SUM($H$29:H60),IF(A60&gt;$D$8,"",F61+G61))</f>
        <v>24193.3</v>
      </c>
      <c r="I61" s="22" t="str">
        <f t="shared" si="23"/>
        <v/>
      </c>
      <c r="J61" s="22" t="str">
        <f t="shared" si="24"/>
        <v/>
      </c>
      <c r="K61" s="22" t="str">
        <f t="shared" si="25"/>
        <v/>
      </c>
      <c r="L61" s="22" t="str">
        <f t="shared" si="26"/>
        <v/>
      </c>
      <c r="M61" s="22" t="str">
        <f t="shared" si="32"/>
        <v/>
      </c>
      <c r="N61" s="22" t="str">
        <f t="shared" si="27"/>
        <v/>
      </c>
      <c r="O61" s="22" t="str">
        <f t="shared" si="31"/>
        <v/>
      </c>
      <c r="P61" s="22"/>
      <c r="Q61" s="68" t="str">
        <f>IF(A60=$D$8,XIRR(S$28:S60,C$28:C60),"")</f>
        <v/>
      </c>
      <c r="R61" s="22" t="str">
        <f t="shared" si="4"/>
        <v/>
      </c>
      <c r="S61" s="22">
        <f t="shared" ca="1" si="6"/>
        <v>24193.3</v>
      </c>
      <c r="T61" s="15">
        <f t="shared" ca="1" si="7"/>
        <v>2023</v>
      </c>
      <c r="U61" s="15">
        <f t="shared" ca="1" si="8"/>
        <v>365</v>
      </c>
      <c r="V61" s="15">
        <f t="shared" ca="1" si="9"/>
        <v>1</v>
      </c>
      <c r="W61" s="16">
        <f t="shared" ca="1" si="10"/>
        <v>0</v>
      </c>
      <c r="X61" s="17">
        <f t="shared" ca="1" si="11"/>
        <v>31</v>
      </c>
      <c r="Y61" s="15"/>
    </row>
    <row r="62" spans="1:25" x14ac:dyDescent="0.35">
      <c r="A62" s="25">
        <f t="shared" si="12"/>
        <v>34</v>
      </c>
      <c r="B62" s="21">
        <f ca="1">EDATE($B$28,34)</f>
        <v>45261</v>
      </c>
      <c r="C62" s="21">
        <f t="shared" ca="1" si="5"/>
        <v>45261</v>
      </c>
      <c r="D62" s="25">
        <f t="shared" ca="1" si="28"/>
        <v>30</v>
      </c>
      <c r="E62" s="22">
        <f t="shared" si="29"/>
        <v>433333.22333333234</v>
      </c>
      <c r="F62" s="22">
        <f>IF(AND(A61="",A63=""),"",IF(A62="",ROUND(SUM($F$29:F61),2),IF(A62=$D$8,$E$28-ROUND(SUM($F$29:F61),2),ROUND($E$28/$D$8,2))))</f>
        <v>16666.669999999998</v>
      </c>
      <c r="G62" s="22">
        <f ca="1">IF(A61=$D$8,ROUND(SUM($G$29:G61),2),IF(A62&gt;$F$8,"",IF(U62&lt;&gt;U61,ROUND(SUM(W62*$F$9*E61/U62,X62*$F$9*E61/U61),2),ROUND(E61*$F$9*D62/U61,2))))</f>
        <v>7023.7</v>
      </c>
      <c r="H62" s="22">
        <f ca="1">IF(A61=$D$8,SUM($H$29:H61),IF(A61&gt;$D$8,"",F62+G62))</f>
        <v>23690.37</v>
      </c>
      <c r="I62" s="22" t="str">
        <f t="shared" si="23"/>
        <v/>
      </c>
      <c r="J62" s="22" t="str">
        <f t="shared" si="24"/>
        <v/>
      </c>
      <c r="K62" s="22" t="str">
        <f t="shared" si="25"/>
        <v/>
      </c>
      <c r="L62" s="22" t="str">
        <f t="shared" si="26"/>
        <v/>
      </c>
      <c r="M62" s="22" t="str">
        <f t="shared" si="32"/>
        <v/>
      </c>
      <c r="N62" s="22" t="str">
        <f t="shared" si="27"/>
        <v/>
      </c>
      <c r="O62" s="22" t="str">
        <f t="shared" si="31"/>
        <v/>
      </c>
      <c r="P62" s="22"/>
      <c r="Q62" s="68" t="str">
        <f>IF(A61=$D$8,XIRR(S$28:S61,C$28:C61),"")</f>
        <v/>
      </c>
      <c r="R62" s="22" t="str">
        <f t="shared" si="4"/>
        <v/>
      </c>
      <c r="S62" s="22">
        <f t="shared" ca="1" si="6"/>
        <v>23690.37</v>
      </c>
      <c r="T62" s="15">
        <f t="shared" ca="1" si="7"/>
        <v>2023</v>
      </c>
      <c r="U62" s="15">
        <f t="shared" ca="1" si="8"/>
        <v>365</v>
      </c>
      <c r="V62" s="15">
        <f t="shared" ca="1" si="9"/>
        <v>1</v>
      </c>
      <c r="W62" s="16">
        <f t="shared" ca="1" si="10"/>
        <v>0</v>
      </c>
      <c r="X62" s="17">
        <f t="shared" ca="1" si="11"/>
        <v>30</v>
      </c>
      <c r="Y62" s="15"/>
    </row>
    <row r="63" spans="1:25" x14ac:dyDescent="0.35">
      <c r="A63" s="25">
        <f t="shared" si="12"/>
        <v>35</v>
      </c>
      <c r="B63" s="21">
        <f ca="1">EDATE($B$28,35)</f>
        <v>45292</v>
      </c>
      <c r="C63" s="21">
        <f t="shared" ca="1" si="5"/>
        <v>45292</v>
      </c>
      <c r="D63" s="25">
        <f t="shared" ca="1" si="28"/>
        <v>31</v>
      </c>
      <c r="E63" s="22">
        <f t="shared" si="29"/>
        <v>416666.55333333235</v>
      </c>
      <c r="F63" s="22">
        <f>IF(AND(A62="",A64=""),"",IF(A63="",ROUND(SUM($F$29:F62),2),IF(A63=$D$8,$E$28-ROUND(SUM($F$29:F62),2),ROUND($E$28/$D$8,2))))</f>
        <v>16666.669999999998</v>
      </c>
      <c r="G63" s="22">
        <f ca="1">IF(A62=$D$8,ROUND(SUM($G$29:G62),2),IF(A63&gt;$F$8,"",IF(U63&lt;&gt;U62,ROUND(SUM(W63*$F$9*E62/U63,X63*$F$9*E62/U62),2),ROUND(E62*$F$9*D63/U62,2))))</f>
        <v>6989.01</v>
      </c>
      <c r="H63" s="22">
        <f ca="1">IF(A62=$D$8,SUM($H$29:H62),IF(A62&gt;$D$8,"",F63+G63))</f>
        <v>23655.68</v>
      </c>
      <c r="I63" s="22" t="str">
        <f t="shared" si="23"/>
        <v/>
      </c>
      <c r="J63" s="22" t="str">
        <f t="shared" si="24"/>
        <v/>
      </c>
      <c r="K63" s="22" t="str">
        <f t="shared" si="25"/>
        <v/>
      </c>
      <c r="L63" s="22" t="str">
        <f t="shared" si="26"/>
        <v/>
      </c>
      <c r="M63" s="22" t="str">
        <f t="shared" si="32"/>
        <v/>
      </c>
      <c r="N63" s="22" t="str">
        <f t="shared" si="27"/>
        <v/>
      </c>
      <c r="O63" s="22" t="str">
        <f t="shared" si="31"/>
        <v/>
      </c>
      <c r="P63" s="22"/>
      <c r="Q63" s="68" t="str">
        <f>IF(A62=$D$8,XIRR(S$28:S62,C$28:C62),"")</f>
        <v/>
      </c>
      <c r="R63" s="22" t="str">
        <f t="shared" si="4"/>
        <v/>
      </c>
      <c r="S63" s="22">
        <f t="shared" ca="1" si="6"/>
        <v>23655.68</v>
      </c>
      <c r="T63" s="15">
        <f t="shared" ca="1" si="7"/>
        <v>2024</v>
      </c>
      <c r="U63" s="15">
        <f t="shared" ca="1" si="8"/>
        <v>366</v>
      </c>
      <c r="V63" s="15">
        <f t="shared" ca="1" si="9"/>
        <v>1</v>
      </c>
      <c r="W63" s="16">
        <f t="shared" ca="1" si="10"/>
        <v>0</v>
      </c>
      <c r="X63" s="17">
        <f t="shared" ca="1" si="11"/>
        <v>31</v>
      </c>
      <c r="Y63" s="15"/>
    </row>
    <row r="64" spans="1:25" x14ac:dyDescent="0.35">
      <c r="A64" s="25">
        <f t="shared" si="12"/>
        <v>36</v>
      </c>
      <c r="B64" s="21">
        <f ca="1">EDATE($B$28,36)</f>
        <v>45323</v>
      </c>
      <c r="C64" s="21">
        <f t="shared" ca="1" si="5"/>
        <v>45323</v>
      </c>
      <c r="D64" s="25">
        <f t="shared" ca="1" si="28"/>
        <v>31</v>
      </c>
      <c r="E64" s="22">
        <f t="shared" si="29"/>
        <v>399999.88333333237</v>
      </c>
      <c r="F64" s="22">
        <f>IF(AND(A63="",A65=""),"",IF(A64="",ROUND(SUM($F$29:F63),2),IF(A64=$D$8,$E$28-ROUND(SUM($F$29:F63),2),ROUND($E$28/$D$8,2))))</f>
        <v>16666.669999999998</v>
      </c>
      <c r="G64" s="22">
        <f ca="1">IF(A63=$D$8,ROUND(SUM($G$29:G63),2),IF(A64&gt;$F$8,"",IF(U64&lt;&gt;U63,ROUND(SUM(W64*$F$9*E63/U64,X64*$F$9*E63/U63),2),ROUND(E63*$F$9*D64/U63,2))))</f>
        <v>6701.84</v>
      </c>
      <c r="H64" s="22">
        <f ca="1">IF(A63=$D$8,SUM($H$29:H63),IF(A63&gt;$D$8,"",F64+G64))</f>
        <v>23368.51</v>
      </c>
      <c r="I64" s="22" t="str">
        <f t="shared" si="23"/>
        <v/>
      </c>
      <c r="J64" s="22" t="str">
        <f t="shared" si="24"/>
        <v/>
      </c>
      <c r="K64" s="22" t="str">
        <f t="shared" si="25"/>
        <v/>
      </c>
      <c r="L64" s="22" t="str">
        <f t="shared" si="26"/>
        <v/>
      </c>
      <c r="M64" s="22" t="str">
        <f t="shared" si="32"/>
        <v/>
      </c>
      <c r="N64" s="22" t="str">
        <f t="shared" si="27"/>
        <v/>
      </c>
      <c r="O64" s="22" t="str">
        <f t="shared" si="31"/>
        <v/>
      </c>
      <c r="P64" s="22"/>
      <c r="Q64" s="68" t="str">
        <f>IF(A63=$D$8,XIRR(S$28:S63,C$28:C63),"")</f>
        <v/>
      </c>
      <c r="R64" s="22" t="str">
        <f t="shared" si="4"/>
        <v/>
      </c>
      <c r="S64" s="22">
        <f t="shared" ca="1" si="6"/>
        <v>23368.51</v>
      </c>
      <c r="T64" s="15">
        <f t="shared" ca="1" si="7"/>
        <v>2024</v>
      </c>
      <c r="U64" s="15">
        <f t="shared" ca="1" si="8"/>
        <v>366</v>
      </c>
      <c r="V64" s="15">
        <f t="shared" ca="1" si="9"/>
        <v>1</v>
      </c>
      <c r="W64" s="16">
        <f t="shared" ca="1" si="10"/>
        <v>0</v>
      </c>
      <c r="X64" s="17">
        <f t="shared" ca="1" si="11"/>
        <v>31</v>
      </c>
      <c r="Y64" s="15"/>
    </row>
    <row r="65" spans="1:25" x14ac:dyDescent="0.35">
      <c r="A65" s="25">
        <f t="shared" si="12"/>
        <v>37</v>
      </c>
      <c r="B65" s="21">
        <f ca="1">EDATE($B$28,37)</f>
        <v>45352</v>
      </c>
      <c r="C65" s="21">
        <f t="shared" ca="1" si="5"/>
        <v>45352</v>
      </c>
      <c r="D65" s="25">
        <f t="shared" ca="1" si="28"/>
        <v>29</v>
      </c>
      <c r="E65" s="22">
        <f t="shared" si="29"/>
        <v>383333.21333333239</v>
      </c>
      <c r="F65" s="22">
        <f>IF(AND(A64="",A66=""),"",IF(A65="",ROUND(SUM($F$29:F64),2),IF(A65=$D$8,$E$28-ROUND(SUM($F$29:F64),2),ROUND($E$28/$D$8,2))))</f>
        <v>16666.669999999998</v>
      </c>
      <c r="G65" s="22">
        <f ca="1">IF(A64=$D$8,ROUND(SUM($G$29:G64),2),IF(A65&gt;$F$8,"",IF(U65&lt;&gt;U64,ROUND(SUM(W65*$F$9*E64/U65,X65*$F$9*E64/U64),2),ROUND(E64*$F$9*D65/U64,2))))</f>
        <v>6018.69</v>
      </c>
      <c r="H65" s="22">
        <f ca="1">IF(A64=$D$8,SUM($H$29:H64),IF(A64&gt;$D$8,"",F65+G65))</f>
        <v>22685.359999999997</v>
      </c>
      <c r="I65" s="22" t="str">
        <f t="shared" si="23"/>
        <v/>
      </c>
      <c r="J65" s="22" t="str">
        <f t="shared" si="24"/>
        <v/>
      </c>
      <c r="K65" s="22" t="str">
        <f t="shared" si="25"/>
        <v/>
      </c>
      <c r="L65" s="22" t="str">
        <f t="shared" si="26"/>
        <v/>
      </c>
      <c r="M65" s="22" t="str">
        <f t="shared" si="32"/>
        <v/>
      </c>
      <c r="N65" s="22" t="str">
        <f t="shared" si="27"/>
        <v/>
      </c>
      <c r="O65" s="213">
        <f>IF($F$8&gt;36,($P$17),IF($A$64=$F$8,O53+O41+O28,""))</f>
        <v>2500</v>
      </c>
      <c r="P65" s="22"/>
      <c r="Q65" s="68" t="str">
        <f>IF(A64=$D$8,XIRR(S$28:S64,C$28:C64),"")</f>
        <v/>
      </c>
      <c r="R65" s="22" t="str">
        <f t="shared" si="4"/>
        <v/>
      </c>
      <c r="S65" s="22">
        <f t="shared" ca="1" si="6"/>
        <v>25185.359999999997</v>
      </c>
      <c r="T65" s="15">
        <f t="shared" ca="1" si="7"/>
        <v>2024</v>
      </c>
      <c r="U65" s="15">
        <f t="shared" ca="1" si="8"/>
        <v>366</v>
      </c>
      <c r="V65" s="15">
        <f t="shared" ca="1" si="9"/>
        <v>1</v>
      </c>
      <c r="W65" s="16">
        <f t="shared" ca="1" si="10"/>
        <v>0</v>
      </c>
      <c r="X65" s="17">
        <f t="shared" ca="1" si="11"/>
        <v>29</v>
      </c>
      <c r="Y65" s="15"/>
    </row>
    <row r="66" spans="1:25" x14ac:dyDescent="0.35">
      <c r="A66" s="25">
        <f t="shared" si="12"/>
        <v>38</v>
      </c>
      <c r="B66" s="21">
        <f ca="1">EDATE($B$28,38)</f>
        <v>45383</v>
      </c>
      <c r="C66" s="21">
        <f t="shared" ca="1" si="5"/>
        <v>45383</v>
      </c>
      <c r="D66" s="25">
        <f t="shared" ca="1" si="28"/>
        <v>31</v>
      </c>
      <c r="E66" s="22">
        <f t="shared" si="29"/>
        <v>366666.5433333324</v>
      </c>
      <c r="F66" s="22">
        <f>IF(AND(A65="",A67=""),"",IF(A66="",ROUND(SUM($F$29:F65),2),IF(A66=$D$8,$E$28-ROUND(SUM($F$29:F65),2),ROUND($E$28/$D$8,2))))</f>
        <v>16666.669999999998</v>
      </c>
      <c r="G66" s="22">
        <f ca="1">IF(A65=$D$8,ROUND(SUM($G$29:G65),2),IF(A66&gt;$F$8,"",IF(U66&lt;&gt;U65,ROUND(SUM(W66*$F$9*E65/U66,X66*$F$9*E65/U65),2),ROUND(E65*$F$9*D66/U65,2))))</f>
        <v>6165.69</v>
      </c>
      <c r="H66" s="22">
        <f ca="1">IF(A65=$D$8,SUM($H$29:H65),IF(A65&gt;$D$8,"",F66+G66))</f>
        <v>22832.359999999997</v>
      </c>
      <c r="I66" s="22" t="str">
        <f t="shared" si="23"/>
        <v/>
      </c>
      <c r="J66" s="22" t="str">
        <f t="shared" si="24"/>
        <v/>
      </c>
      <c r="K66" s="22" t="str">
        <f t="shared" si="25"/>
        <v/>
      </c>
      <c r="L66" s="22" t="str">
        <f t="shared" si="26"/>
        <v/>
      </c>
      <c r="M66" s="22" t="str">
        <f t="shared" si="32"/>
        <v/>
      </c>
      <c r="N66" s="22" t="str">
        <f t="shared" si="27"/>
        <v/>
      </c>
      <c r="O66" s="22" t="str">
        <f t="shared" si="31"/>
        <v/>
      </c>
      <c r="P66" s="22"/>
      <c r="Q66" s="68" t="str">
        <f>IF(A65=$D$8,XIRR(S$28:S65,C$28:C65),"")</f>
        <v/>
      </c>
      <c r="R66" s="22" t="str">
        <f t="shared" si="4"/>
        <v/>
      </c>
      <c r="S66" s="22">
        <f t="shared" ca="1" si="6"/>
        <v>22832.359999999997</v>
      </c>
      <c r="T66" s="15">
        <f t="shared" ca="1" si="7"/>
        <v>2024</v>
      </c>
      <c r="U66" s="15">
        <f t="shared" ca="1" si="8"/>
        <v>366</v>
      </c>
      <c r="V66" s="15">
        <f t="shared" ca="1" si="9"/>
        <v>1</v>
      </c>
      <c r="W66" s="16">
        <f t="shared" ca="1" si="10"/>
        <v>0</v>
      </c>
      <c r="X66" s="17">
        <f t="shared" ca="1" si="11"/>
        <v>31</v>
      </c>
      <c r="Y66" s="15"/>
    </row>
    <row r="67" spans="1:25" x14ac:dyDescent="0.35">
      <c r="A67" s="25">
        <f t="shared" si="12"/>
        <v>39</v>
      </c>
      <c r="B67" s="21">
        <f ca="1">EDATE($B$28,39)</f>
        <v>45413</v>
      </c>
      <c r="C67" s="21">
        <f t="shared" ca="1" si="5"/>
        <v>45413</v>
      </c>
      <c r="D67" s="25">
        <f t="shared" ca="1" si="28"/>
        <v>30</v>
      </c>
      <c r="E67" s="22">
        <f t="shared" si="29"/>
        <v>349999.87333333242</v>
      </c>
      <c r="F67" s="22">
        <f>IF(AND(A66="",A68=""),"",IF(A67="",ROUND(SUM($F$29:F66),2),IF(A67=$D$8,$E$28-ROUND(SUM($F$29:F66),2),ROUND($E$28/$D$8,2))))</f>
        <v>16666.669999999998</v>
      </c>
      <c r="G67" s="22">
        <f ca="1">IF(A66=$D$8,ROUND(SUM($G$29:G66),2),IF(A67&gt;$F$8,"",IF(U67&lt;&gt;U66,ROUND(SUM(W67*$F$9*E66/U67,X67*$F$9*E66/U66),2),ROUND(E66*$F$9*D67/U66,2))))</f>
        <v>5707.38</v>
      </c>
      <c r="H67" s="22">
        <f ca="1">IF(A66=$D$8,SUM($H$29:H66),IF(A66&gt;$D$8,"",F67+G67))</f>
        <v>22374.05</v>
      </c>
      <c r="I67" s="22" t="str">
        <f t="shared" si="23"/>
        <v/>
      </c>
      <c r="J67" s="22" t="str">
        <f t="shared" si="24"/>
        <v/>
      </c>
      <c r="K67" s="22" t="str">
        <f t="shared" si="25"/>
        <v/>
      </c>
      <c r="L67" s="22" t="str">
        <f t="shared" si="26"/>
        <v/>
      </c>
      <c r="M67" s="22" t="str">
        <f t="shared" si="32"/>
        <v/>
      </c>
      <c r="N67" s="22" t="str">
        <f t="shared" si="27"/>
        <v/>
      </c>
      <c r="O67" s="22" t="str">
        <f t="shared" si="31"/>
        <v/>
      </c>
      <c r="P67" s="22"/>
      <c r="Q67" s="68" t="str">
        <f>IF(A66=$D$8,XIRR(S$28:S66,C$28:C66),"")</f>
        <v/>
      </c>
      <c r="R67" s="22" t="str">
        <f t="shared" si="4"/>
        <v/>
      </c>
      <c r="S67" s="22">
        <f t="shared" ca="1" si="6"/>
        <v>22374.05</v>
      </c>
      <c r="T67" s="15">
        <f t="shared" ca="1" si="7"/>
        <v>2024</v>
      </c>
      <c r="U67" s="15">
        <f t="shared" ca="1" si="8"/>
        <v>366</v>
      </c>
      <c r="V67" s="15">
        <f t="shared" ca="1" si="9"/>
        <v>1</v>
      </c>
      <c r="W67" s="16">
        <f t="shared" ca="1" si="10"/>
        <v>0</v>
      </c>
      <c r="X67" s="17">
        <f t="shared" ca="1" si="11"/>
        <v>30</v>
      </c>
      <c r="Y67" s="15"/>
    </row>
    <row r="68" spans="1:25" x14ac:dyDescent="0.35">
      <c r="A68" s="25">
        <f t="shared" si="12"/>
        <v>40</v>
      </c>
      <c r="B68" s="21">
        <f ca="1">EDATE($B$28,40)</f>
        <v>45444</v>
      </c>
      <c r="C68" s="21">
        <f t="shared" ca="1" si="5"/>
        <v>45444</v>
      </c>
      <c r="D68" s="25">
        <f t="shared" ca="1" si="28"/>
        <v>31</v>
      </c>
      <c r="E68" s="22">
        <f t="shared" si="29"/>
        <v>333333.20333333244</v>
      </c>
      <c r="F68" s="22">
        <f>IF(AND(A67="",A69=""),"",IF(A68="",ROUND(SUM($F$29:F67),2),IF(A68=$D$8,$E$28-ROUND(SUM($F$29:F67),2),ROUND($E$28/$D$8,2))))</f>
        <v>16666.669999999998</v>
      </c>
      <c r="G68" s="22">
        <f ca="1">IF(A67=$D$8,ROUND(SUM($G$29:G67),2),IF(A68&gt;$F$8,"",IF(U68&lt;&gt;U67,ROUND(SUM(W68*$F$9*E67/U68,X68*$F$9*E67/U67),2),ROUND(E67*$F$9*D68/U67,2))))</f>
        <v>5629.55</v>
      </c>
      <c r="H68" s="22">
        <f ca="1">IF(A67=$D$8,SUM($H$29:H67),IF(A67&gt;$D$8,"",F68+G68))</f>
        <v>22296.219999999998</v>
      </c>
      <c r="I68" s="22" t="str">
        <f t="shared" si="23"/>
        <v/>
      </c>
      <c r="J68" s="22" t="str">
        <f t="shared" si="24"/>
        <v/>
      </c>
      <c r="K68" s="22" t="str">
        <f t="shared" si="25"/>
        <v/>
      </c>
      <c r="L68" s="22" t="str">
        <f t="shared" si="26"/>
        <v/>
      </c>
      <c r="M68" s="22" t="str">
        <f t="shared" si="32"/>
        <v/>
      </c>
      <c r="N68" s="22" t="str">
        <f t="shared" si="27"/>
        <v/>
      </c>
      <c r="O68" s="22" t="str">
        <f t="shared" si="31"/>
        <v/>
      </c>
      <c r="P68" s="22"/>
      <c r="Q68" s="68" t="str">
        <f>IF(A67=$D$8,XIRR(S$28:S67,C$28:C67),"")</f>
        <v/>
      </c>
      <c r="R68" s="22" t="str">
        <f t="shared" si="4"/>
        <v/>
      </c>
      <c r="S68" s="22">
        <f t="shared" ca="1" si="6"/>
        <v>22296.219999999998</v>
      </c>
      <c r="T68" s="15">
        <f t="shared" ca="1" si="7"/>
        <v>2024</v>
      </c>
      <c r="U68" s="15">
        <f t="shared" ca="1" si="8"/>
        <v>366</v>
      </c>
      <c r="V68" s="15">
        <f t="shared" ca="1" si="9"/>
        <v>1</v>
      </c>
      <c r="W68" s="16">
        <f t="shared" ca="1" si="10"/>
        <v>0</v>
      </c>
      <c r="X68" s="17">
        <f t="shared" ca="1" si="11"/>
        <v>31</v>
      </c>
      <c r="Y68" s="15"/>
    </row>
    <row r="69" spans="1:25" x14ac:dyDescent="0.35">
      <c r="A69" s="25">
        <f t="shared" si="12"/>
        <v>41</v>
      </c>
      <c r="B69" s="21">
        <f ca="1">EDATE($B$28,41)</f>
        <v>45474</v>
      </c>
      <c r="C69" s="21">
        <f t="shared" ca="1" si="5"/>
        <v>45474</v>
      </c>
      <c r="D69" s="25">
        <f t="shared" ca="1" si="28"/>
        <v>30</v>
      </c>
      <c r="E69" s="22">
        <f t="shared" si="29"/>
        <v>316666.53333333245</v>
      </c>
      <c r="F69" s="22">
        <f>IF(AND(A68="",A70=""),"",IF(A69="",ROUND(SUM($F$29:F68),2),IF(A69=$D$8,$E$28-ROUND(SUM($F$29:F68),2),ROUND($E$28/$D$8,2))))</f>
        <v>16666.669999999998</v>
      </c>
      <c r="G69" s="22">
        <f ca="1">IF(A68=$D$8,ROUND(SUM($G$29:G68),2),IF(A69&gt;$F$8,"",IF(U69&lt;&gt;U68,ROUND(SUM(W69*$F$9*E68/U69,X69*$F$9*E68/U68),2),ROUND(E68*$F$9*D69/U68,2))))</f>
        <v>5188.5200000000004</v>
      </c>
      <c r="H69" s="22">
        <f ca="1">IF(A68=$D$8,SUM($H$29:H68),IF(A68&gt;$D$8,"",F69+G69))</f>
        <v>21855.19</v>
      </c>
      <c r="I69" s="22" t="str">
        <f t="shared" si="23"/>
        <v/>
      </c>
      <c r="J69" s="22" t="str">
        <f t="shared" si="24"/>
        <v/>
      </c>
      <c r="K69" s="22" t="str">
        <f t="shared" si="25"/>
        <v/>
      </c>
      <c r="L69" s="22" t="str">
        <f t="shared" si="26"/>
        <v/>
      </c>
      <c r="M69" s="22" t="str">
        <f t="shared" si="32"/>
        <v/>
      </c>
      <c r="N69" s="22" t="str">
        <f t="shared" si="27"/>
        <v/>
      </c>
      <c r="O69" s="22" t="str">
        <f t="shared" si="31"/>
        <v/>
      </c>
      <c r="P69" s="22"/>
      <c r="Q69" s="68" t="str">
        <f>IF(A68=$D$8,XIRR(S$28:S68,C$28:C68),"")</f>
        <v/>
      </c>
      <c r="R69" s="22" t="str">
        <f t="shared" si="4"/>
        <v/>
      </c>
      <c r="S69" s="22">
        <f t="shared" ca="1" si="6"/>
        <v>21855.19</v>
      </c>
      <c r="T69" s="15">
        <f t="shared" ca="1" si="7"/>
        <v>2024</v>
      </c>
      <c r="U69" s="15">
        <f t="shared" ca="1" si="8"/>
        <v>366</v>
      </c>
      <c r="V69" s="15">
        <f t="shared" ca="1" si="9"/>
        <v>1</v>
      </c>
      <c r="W69" s="16">
        <f t="shared" ca="1" si="10"/>
        <v>0</v>
      </c>
      <c r="X69" s="17">
        <f t="shared" ca="1" si="11"/>
        <v>30</v>
      </c>
      <c r="Y69" s="15"/>
    </row>
    <row r="70" spans="1:25" x14ac:dyDescent="0.35">
      <c r="A70" s="25">
        <f t="shared" si="12"/>
        <v>42</v>
      </c>
      <c r="B70" s="21">
        <f ca="1">EDATE($B$28,42)</f>
        <v>45505</v>
      </c>
      <c r="C70" s="21">
        <f t="shared" ca="1" si="5"/>
        <v>45505</v>
      </c>
      <c r="D70" s="25">
        <f t="shared" ca="1" si="28"/>
        <v>31</v>
      </c>
      <c r="E70" s="22">
        <f t="shared" si="29"/>
        <v>299999.86333333247</v>
      </c>
      <c r="F70" s="22">
        <f>IF(AND(A69="",A71=""),"",IF(A70="",ROUND(SUM($F$29:F69),2),IF(A70=$D$8,$E$28-ROUND(SUM($F$29:F69),2),ROUND($E$28/$D$8,2))))</f>
        <v>16666.669999999998</v>
      </c>
      <c r="G70" s="22">
        <f ca="1">IF(A69=$D$8,ROUND(SUM($G$29:G69),2),IF(A70&gt;$F$8,"",IF(U70&lt;&gt;U69,ROUND(SUM(W70*$F$9*E69/U70,X70*$F$9*E69/U69),2),ROUND(E69*$F$9*D70/U69,2))))</f>
        <v>5093.3999999999996</v>
      </c>
      <c r="H70" s="22">
        <f ca="1">IF(A69=$D$8,SUM($H$29:H69),IF(A69&gt;$D$8,"",F70+G70))</f>
        <v>21760.07</v>
      </c>
      <c r="I70" s="22" t="str">
        <f t="shared" si="23"/>
        <v/>
      </c>
      <c r="J70" s="22" t="str">
        <f t="shared" si="24"/>
        <v/>
      </c>
      <c r="K70" s="22" t="str">
        <f t="shared" si="25"/>
        <v/>
      </c>
      <c r="L70" s="22" t="str">
        <f t="shared" si="26"/>
        <v/>
      </c>
      <c r="M70" s="22" t="str">
        <f t="shared" si="32"/>
        <v/>
      </c>
      <c r="N70" s="22" t="str">
        <f t="shared" si="27"/>
        <v/>
      </c>
      <c r="O70" s="22" t="str">
        <f t="shared" si="31"/>
        <v/>
      </c>
      <c r="P70" s="22"/>
      <c r="Q70" s="68" t="str">
        <f>IF(A69=$D$8,XIRR(S$28:S69,C$28:C69),"")</f>
        <v/>
      </c>
      <c r="R70" s="22" t="str">
        <f t="shared" si="4"/>
        <v/>
      </c>
      <c r="S70" s="22">
        <f t="shared" ca="1" si="6"/>
        <v>21760.07</v>
      </c>
      <c r="T70" s="15">
        <f t="shared" ca="1" si="7"/>
        <v>2024</v>
      </c>
      <c r="U70" s="15">
        <f t="shared" ca="1" si="8"/>
        <v>366</v>
      </c>
      <c r="V70" s="15">
        <f t="shared" ca="1" si="9"/>
        <v>1</v>
      </c>
      <c r="W70" s="16">
        <f t="shared" ca="1" si="10"/>
        <v>0</v>
      </c>
      <c r="X70" s="17">
        <f t="shared" ca="1" si="11"/>
        <v>31</v>
      </c>
      <c r="Y70" s="15"/>
    </row>
    <row r="71" spans="1:25" x14ac:dyDescent="0.35">
      <c r="A71" s="25">
        <f t="shared" si="12"/>
        <v>43</v>
      </c>
      <c r="B71" s="21">
        <f ca="1">EDATE($B$28,43)</f>
        <v>45536</v>
      </c>
      <c r="C71" s="21">
        <f t="shared" ca="1" si="5"/>
        <v>45536</v>
      </c>
      <c r="D71" s="25">
        <f t="shared" ca="1" si="28"/>
        <v>31</v>
      </c>
      <c r="E71" s="22">
        <f t="shared" si="29"/>
        <v>283333.19333333249</v>
      </c>
      <c r="F71" s="22">
        <f>IF(AND(A70="",A72=""),"",IF(A71="",ROUND(SUM($F$29:F70),2),IF(A71=$D$8,$E$28-ROUND(SUM($F$29:F70),2),ROUND($E$28/$D$8,2))))</f>
        <v>16666.669999999998</v>
      </c>
      <c r="G71" s="22">
        <f ca="1">IF(A70=$D$8,ROUND(SUM($G$29:G70),2),IF(A71&gt;$F$8,"",IF(U71&lt;&gt;U70,ROUND(SUM(W71*$F$9*E70/U71,X71*$F$9*E70/U70),2),ROUND(E70*$F$9*D71/U70,2))))</f>
        <v>4825.33</v>
      </c>
      <c r="H71" s="22">
        <f ca="1">IF(A70=$D$8,SUM($H$29:H70),IF(A70&gt;$D$8,"",F71+G71))</f>
        <v>21492</v>
      </c>
      <c r="I71" s="22" t="str">
        <f t="shared" si="23"/>
        <v/>
      </c>
      <c r="J71" s="22" t="str">
        <f t="shared" si="24"/>
        <v/>
      </c>
      <c r="K71" s="22" t="str">
        <f t="shared" si="25"/>
        <v/>
      </c>
      <c r="L71" s="22" t="str">
        <f t="shared" si="26"/>
        <v/>
      </c>
      <c r="M71" s="22" t="str">
        <f t="shared" si="32"/>
        <v/>
      </c>
      <c r="N71" s="22" t="str">
        <f t="shared" si="27"/>
        <v/>
      </c>
      <c r="O71" s="22" t="str">
        <f t="shared" si="31"/>
        <v/>
      </c>
      <c r="P71" s="22"/>
      <c r="Q71" s="68" t="str">
        <f>IF(A70=$D$8,XIRR(S$28:S70,C$28:C70),"")</f>
        <v/>
      </c>
      <c r="R71" s="22" t="str">
        <f t="shared" si="4"/>
        <v/>
      </c>
      <c r="S71" s="22">
        <f t="shared" ca="1" si="6"/>
        <v>21492</v>
      </c>
      <c r="T71" s="15">
        <f t="shared" ca="1" si="7"/>
        <v>2024</v>
      </c>
      <c r="U71" s="15">
        <f t="shared" ca="1" si="8"/>
        <v>366</v>
      </c>
      <c r="V71" s="15">
        <f t="shared" ca="1" si="9"/>
        <v>1</v>
      </c>
      <c r="W71" s="16">
        <f t="shared" ca="1" si="10"/>
        <v>0</v>
      </c>
      <c r="X71" s="17">
        <f t="shared" ca="1" si="11"/>
        <v>31</v>
      </c>
      <c r="Y71" s="15"/>
    </row>
    <row r="72" spans="1:25" x14ac:dyDescent="0.35">
      <c r="A72" s="25">
        <f t="shared" si="12"/>
        <v>44</v>
      </c>
      <c r="B72" s="21">
        <f ca="1">EDATE($B$28,44)</f>
        <v>45566</v>
      </c>
      <c r="C72" s="21">
        <f t="shared" ca="1" si="5"/>
        <v>45566</v>
      </c>
      <c r="D72" s="25">
        <f t="shared" ca="1" si="28"/>
        <v>30</v>
      </c>
      <c r="E72" s="22">
        <f t="shared" si="29"/>
        <v>266666.5233333325</v>
      </c>
      <c r="F72" s="22">
        <f>IF(AND(A71="",A73=""),"",IF(A72="",ROUND(SUM($F$29:F71),2),IF(A72=$D$8,$E$28-ROUND(SUM($F$29:F71),2),ROUND($E$28/$D$8,2))))</f>
        <v>16666.669999999998</v>
      </c>
      <c r="G72" s="22">
        <f ca="1">IF(A71=$D$8,ROUND(SUM($G$29:G71),2),IF(A72&gt;$F$8,"",IF(U72&lt;&gt;U71,ROUND(SUM(W72*$F$9*E71/U72,X72*$F$9*E71/U71),2),ROUND(E71*$F$9*D72/U71,2))))</f>
        <v>4410.24</v>
      </c>
      <c r="H72" s="22">
        <f ca="1">IF(A71=$D$8,SUM($H$29:H71),IF(A71&gt;$D$8,"",F72+G72))</f>
        <v>21076.909999999996</v>
      </c>
      <c r="I72" s="22" t="str">
        <f t="shared" si="23"/>
        <v/>
      </c>
      <c r="J72" s="22" t="str">
        <f t="shared" si="24"/>
        <v/>
      </c>
      <c r="K72" s="22" t="str">
        <f t="shared" si="25"/>
        <v/>
      </c>
      <c r="L72" s="22" t="str">
        <f t="shared" si="26"/>
        <v/>
      </c>
      <c r="M72" s="22" t="str">
        <f t="shared" si="32"/>
        <v/>
      </c>
      <c r="N72" s="22" t="str">
        <f t="shared" si="27"/>
        <v/>
      </c>
      <c r="O72" s="22" t="str">
        <f t="shared" si="31"/>
        <v/>
      </c>
      <c r="P72" s="22"/>
      <c r="Q72" s="68" t="str">
        <f>IF(A71=$D$8,XIRR(S$28:S71,C$28:C71),"")</f>
        <v/>
      </c>
      <c r="R72" s="22" t="str">
        <f t="shared" si="4"/>
        <v/>
      </c>
      <c r="S72" s="22">
        <f t="shared" ca="1" si="6"/>
        <v>21076.909999999996</v>
      </c>
      <c r="T72" s="15">
        <f t="shared" ca="1" si="7"/>
        <v>2024</v>
      </c>
      <c r="U72" s="15">
        <f t="shared" ca="1" si="8"/>
        <v>366</v>
      </c>
      <c r="V72" s="15">
        <f t="shared" ca="1" si="9"/>
        <v>1</v>
      </c>
      <c r="W72" s="16">
        <f t="shared" ca="1" si="10"/>
        <v>0</v>
      </c>
      <c r="X72" s="17">
        <f t="shared" ca="1" si="11"/>
        <v>30</v>
      </c>
      <c r="Y72" s="15"/>
    </row>
    <row r="73" spans="1:25" x14ac:dyDescent="0.35">
      <c r="A73" s="25">
        <f t="shared" si="12"/>
        <v>45</v>
      </c>
      <c r="B73" s="21">
        <f ca="1">EDATE($B$28,45)</f>
        <v>45597</v>
      </c>
      <c r="C73" s="21">
        <f t="shared" ca="1" si="5"/>
        <v>45597</v>
      </c>
      <c r="D73" s="25">
        <f t="shared" ca="1" si="28"/>
        <v>31</v>
      </c>
      <c r="E73" s="22">
        <f t="shared" si="29"/>
        <v>249999.85333333252</v>
      </c>
      <c r="F73" s="22">
        <f>IF(AND(A72="",A74=""),"",IF(A73="",ROUND(SUM($F$29:F72),2),IF(A73=$D$8,$E$28-ROUND(SUM($F$29:F72),2),ROUND($E$28/$D$8,2))))</f>
        <v>16666.669999999998</v>
      </c>
      <c r="G73" s="22">
        <f ca="1">IF(A72=$D$8,ROUND(SUM($G$29:G72),2),IF(A73&gt;$F$8,"",IF(U73&lt;&gt;U72,ROUND(SUM(W73*$F$9*E72/U73,X73*$F$9*E72/U72),2),ROUND(E72*$F$9*D73/U72,2))))</f>
        <v>4289.18</v>
      </c>
      <c r="H73" s="22">
        <f ca="1">IF(A72=$D$8,SUM($H$29:H72),IF(A72&gt;$D$8,"",F73+G73))</f>
        <v>20955.849999999999</v>
      </c>
      <c r="I73" s="22" t="str">
        <f t="shared" si="23"/>
        <v/>
      </c>
      <c r="J73" s="22" t="str">
        <f t="shared" si="24"/>
        <v/>
      </c>
      <c r="K73" s="22" t="str">
        <f t="shared" si="25"/>
        <v/>
      </c>
      <c r="L73" s="22" t="str">
        <f t="shared" si="26"/>
        <v/>
      </c>
      <c r="M73" s="22" t="str">
        <f t="shared" si="32"/>
        <v/>
      </c>
      <c r="N73" s="22" t="str">
        <f t="shared" si="27"/>
        <v/>
      </c>
      <c r="O73" s="22" t="str">
        <f t="shared" si="31"/>
        <v/>
      </c>
      <c r="P73" s="22"/>
      <c r="Q73" s="68" t="str">
        <f>IF(A72=$D$8,XIRR(S$28:S72,C$28:C72),"")</f>
        <v/>
      </c>
      <c r="R73" s="22" t="str">
        <f t="shared" si="4"/>
        <v/>
      </c>
      <c r="S73" s="22">
        <f t="shared" ca="1" si="6"/>
        <v>20955.849999999999</v>
      </c>
      <c r="T73" s="15">
        <f t="shared" ca="1" si="7"/>
        <v>2024</v>
      </c>
      <c r="U73" s="15">
        <f t="shared" ca="1" si="8"/>
        <v>366</v>
      </c>
      <c r="V73" s="15">
        <f t="shared" ca="1" si="9"/>
        <v>1</v>
      </c>
      <c r="W73" s="16">
        <f t="shared" ca="1" si="10"/>
        <v>0</v>
      </c>
      <c r="X73" s="17">
        <f t="shared" ca="1" si="11"/>
        <v>31</v>
      </c>
      <c r="Y73" s="15"/>
    </row>
    <row r="74" spans="1:25" x14ac:dyDescent="0.35">
      <c r="A74" s="25">
        <f t="shared" si="12"/>
        <v>46</v>
      </c>
      <c r="B74" s="21">
        <f ca="1">EDATE($B$28,46)</f>
        <v>45627</v>
      </c>
      <c r="C74" s="21">
        <f t="shared" ca="1" si="5"/>
        <v>45627</v>
      </c>
      <c r="D74" s="25">
        <f t="shared" ca="1" si="28"/>
        <v>30</v>
      </c>
      <c r="E74" s="22">
        <f t="shared" si="29"/>
        <v>233333.18333333253</v>
      </c>
      <c r="F74" s="22">
        <f>IF(AND(A73="",A75=""),"",IF(A74="",ROUND(SUM($F$29:F73),2),IF(A74=$D$8,$E$28-ROUND(SUM($F$29:F73),2),ROUND($E$28/$D$8,2))))</f>
        <v>16666.669999999998</v>
      </c>
      <c r="G74" s="22">
        <f ca="1">IF(A73=$D$8,ROUND(SUM($G$29:G73),2),IF(A74&gt;$F$8,"",IF(U74&lt;&gt;U73,ROUND(SUM(W74*$F$9*E73/U74,X74*$F$9*E73/U73),2),ROUND(E73*$F$9*D74/U73,2))))</f>
        <v>3891.39</v>
      </c>
      <c r="H74" s="22">
        <f ca="1">IF(A73=$D$8,SUM($H$29:H73),IF(A73&gt;$D$8,"",F74+G74))</f>
        <v>20558.059999999998</v>
      </c>
      <c r="I74" s="22" t="str">
        <f t="shared" si="23"/>
        <v/>
      </c>
      <c r="J74" s="22" t="str">
        <f t="shared" si="24"/>
        <v/>
      </c>
      <c r="K74" s="22" t="str">
        <f t="shared" si="25"/>
        <v/>
      </c>
      <c r="L74" s="22" t="str">
        <f t="shared" si="26"/>
        <v/>
      </c>
      <c r="M74" s="22" t="str">
        <f t="shared" si="32"/>
        <v/>
      </c>
      <c r="N74" s="22" t="str">
        <f t="shared" si="27"/>
        <v/>
      </c>
      <c r="O74" s="22" t="str">
        <f t="shared" si="31"/>
        <v/>
      </c>
      <c r="P74" s="22"/>
      <c r="Q74" s="68" t="str">
        <f>IF(A73=$D$8,XIRR(S$28:S73,C$28:C73),"")</f>
        <v/>
      </c>
      <c r="R74" s="22" t="str">
        <f t="shared" si="4"/>
        <v/>
      </c>
      <c r="S74" s="22">
        <f t="shared" ca="1" si="6"/>
        <v>20558.059999999998</v>
      </c>
      <c r="T74" s="15">
        <f t="shared" ca="1" si="7"/>
        <v>2024</v>
      </c>
      <c r="U74" s="15">
        <f t="shared" ca="1" si="8"/>
        <v>366</v>
      </c>
      <c r="V74" s="15">
        <f t="shared" ca="1" si="9"/>
        <v>1</v>
      </c>
      <c r="W74" s="16">
        <f t="shared" ca="1" si="10"/>
        <v>0</v>
      </c>
      <c r="X74" s="17">
        <f t="shared" ca="1" si="11"/>
        <v>30</v>
      </c>
      <c r="Y74" s="15"/>
    </row>
    <row r="75" spans="1:25" x14ac:dyDescent="0.35">
      <c r="A75" s="25">
        <f t="shared" si="12"/>
        <v>47</v>
      </c>
      <c r="B75" s="21">
        <f ca="1">EDATE($B$28,47)</f>
        <v>45658</v>
      </c>
      <c r="C75" s="21">
        <f t="shared" ca="1" si="5"/>
        <v>45658</v>
      </c>
      <c r="D75" s="25">
        <f t="shared" ca="1" si="28"/>
        <v>31</v>
      </c>
      <c r="E75" s="22">
        <f t="shared" si="29"/>
        <v>216666.51333333255</v>
      </c>
      <c r="F75" s="22">
        <f>IF(AND(A74="",A76=""),"",IF(A75="",ROUND(SUM($F$29:F74),2),IF(A75=$D$8,$E$28-ROUND(SUM($F$29:F74),2),ROUND($E$28/$D$8,2))))</f>
        <v>16666.669999999998</v>
      </c>
      <c r="G75" s="22">
        <f ca="1">IF(A74=$D$8,ROUND(SUM($G$29:G74),2),IF(A75&gt;$F$8,"",IF(U75&lt;&gt;U74,ROUND(SUM(W75*$F$9*E74/U75,X75*$F$9*E74/U74),2),ROUND(E74*$F$9*D75/U74,2))))</f>
        <v>3753.03</v>
      </c>
      <c r="H75" s="22">
        <f ca="1">IF(A74=$D$8,SUM($H$29:H74),IF(A74&gt;$D$8,"",F75+G75))</f>
        <v>20419.699999999997</v>
      </c>
      <c r="I75" s="22" t="str">
        <f t="shared" si="23"/>
        <v/>
      </c>
      <c r="J75" s="22" t="str">
        <f t="shared" si="24"/>
        <v/>
      </c>
      <c r="K75" s="22" t="str">
        <f t="shared" si="25"/>
        <v/>
      </c>
      <c r="L75" s="22" t="str">
        <f t="shared" si="26"/>
        <v/>
      </c>
      <c r="M75" s="22" t="str">
        <f t="shared" ref="M75:M106" si="33">IF(A74=$D$8,$M$28,"")</f>
        <v/>
      </c>
      <c r="N75" s="22" t="str">
        <f t="shared" si="27"/>
        <v/>
      </c>
      <c r="O75" s="22" t="str">
        <f t="shared" si="31"/>
        <v/>
      </c>
      <c r="P75" s="22"/>
      <c r="Q75" s="68" t="str">
        <f>IF(A74=$D$8,XIRR(S$28:S74,C$28:C74),"")</f>
        <v/>
      </c>
      <c r="R75" s="22" t="str">
        <f t="shared" si="4"/>
        <v/>
      </c>
      <c r="S75" s="22">
        <f t="shared" ca="1" si="6"/>
        <v>20419.699999999997</v>
      </c>
      <c r="T75" s="15">
        <f t="shared" ca="1" si="7"/>
        <v>2025</v>
      </c>
      <c r="U75" s="15">
        <f t="shared" ca="1" si="8"/>
        <v>365</v>
      </c>
      <c r="V75" s="15">
        <f t="shared" ca="1" si="9"/>
        <v>1</v>
      </c>
      <c r="W75" s="16">
        <f t="shared" ca="1" si="10"/>
        <v>0</v>
      </c>
      <c r="X75" s="17">
        <f t="shared" ca="1" si="11"/>
        <v>31</v>
      </c>
      <c r="Y75" s="15"/>
    </row>
    <row r="76" spans="1:25" x14ac:dyDescent="0.35">
      <c r="A76" s="25">
        <f t="shared" si="12"/>
        <v>48</v>
      </c>
      <c r="B76" s="21">
        <f ca="1">EDATE($B$28,48)</f>
        <v>45689</v>
      </c>
      <c r="C76" s="21">
        <f t="shared" ca="1" si="5"/>
        <v>45689</v>
      </c>
      <c r="D76" s="25">
        <f t="shared" ca="1" si="28"/>
        <v>31</v>
      </c>
      <c r="E76" s="22">
        <f t="shared" si="29"/>
        <v>199999.84333333257</v>
      </c>
      <c r="F76" s="22">
        <f>IF(AND(A75="",A77=""),"",IF(A76="",ROUND(SUM($F$29:F75),2),IF(A76=$D$8,$E$28-ROUND(SUM($F$29:F75),2),ROUND($E$28/$D$8,2))))</f>
        <v>16666.669999999998</v>
      </c>
      <c r="G76" s="22">
        <f ca="1">IF(A75=$D$8,ROUND(SUM($G$29:G75),2),IF(A76&gt;$F$8,"",IF(U76&lt;&gt;U75,ROUND(SUM(W76*$F$9*E75/U76,X76*$F$9*E75/U75),2),ROUND(E75*$F$9*D76/U75,2))))</f>
        <v>3494.5</v>
      </c>
      <c r="H76" s="22">
        <f ca="1">IF(A75=$D$8,SUM($H$29:H75),IF(A75&gt;$D$8,"",F76+G76))</f>
        <v>20161.169999999998</v>
      </c>
      <c r="I76" s="22" t="str">
        <f t="shared" si="23"/>
        <v/>
      </c>
      <c r="J76" s="22" t="str">
        <f t="shared" si="24"/>
        <v/>
      </c>
      <c r="K76" s="22" t="str">
        <f t="shared" si="25"/>
        <v/>
      </c>
      <c r="L76" s="22" t="str">
        <f t="shared" si="26"/>
        <v/>
      </c>
      <c r="M76" s="22" t="str">
        <f t="shared" si="33"/>
        <v/>
      </c>
      <c r="N76" s="22" t="str">
        <f t="shared" si="27"/>
        <v/>
      </c>
      <c r="O76" s="22" t="str">
        <f t="shared" si="31"/>
        <v/>
      </c>
      <c r="P76" s="22"/>
      <c r="Q76" s="68" t="str">
        <f>IF(A75=$D$8,XIRR(S$28:S75,C$28:C75),"")</f>
        <v/>
      </c>
      <c r="R76" s="22" t="str">
        <f t="shared" si="4"/>
        <v/>
      </c>
      <c r="S76" s="22">
        <f t="shared" ca="1" si="6"/>
        <v>20161.169999999998</v>
      </c>
      <c r="T76" s="15">
        <f t="shared" ca="1" si="7"/>
        <v>2025</v>
      </c>
      <c r="U76" s="15">
        <f t="shared" ca="1" si="8"/>
        <v>365</v>
      </c>
      <c r="V76" s="15">
        <f t="shared" ca="1" si="9"/>
        <v>1</v>
      </c>
      <c r="W76" s="16">
        <f t="shared" ca="1" si="10"/>
        <v>0</v>
      </c>
      <c r="X76" s="17">
        <f t="shared" ca="1" si="11"/>
        <v>31</v>
      </c>
      <c r="Y76" s="15"/>
    </row>
    <row r="77" spans="1:25" x14ac:dyDescent="0.35">
      <c r="A77" s="25">
        <f t="shared" si="12"/>
        <v>49</v>
      </c>
      <c r="B77" s="21">
        <f ca="1">EDATE($B$28,49)</f>
        <v>45717</v>
      </c>
      <c r="C77" s="21">
        <f t="shared" ca="1" si="5"/>
        <v>45717</v>
      </c>
      <c r="D77" s="25">
        <f t="shared" ca="1" si="28"/>
        <v>28</v>
      </c>
      <c r="E77" s="22">
        <f t="shared" si="29"/>
        <v>183333.17333333258</v>
      </c>
      <c r="F77" s="22">
        <f>IF(AND(A76="",A78=""),"",IF(A77="",ROUND(SUM($F$29:F76),2),IF(A77=$D$8,$E$28-ROUND(SUM($F$29:F76),2),ROUND($E$28/$D$8,2))))</f>
        <v>16666.669999999998</v>
      </c>
      <c r="G77" s="22">
        <f ca="1">IF(A76=$D$8,ROUND(SUM($G$29:G76),2),IF(A77&gt;$F$8,"",IF(U77&lt;&gt;U76,ROUND(SUM(W77*$F$9*E76/U77,X77*$F$9*E76/U76),2),ROUND(E76*$F$9*D77/U76,2))))</f>
        <v>2913.53</v>
      </c>
      <c r="H77" s="22">
        <f ca="1">IF(A76=$D$8,SUM($H$29:H76),IF(A76&gt;$D$8,"",F77+G77))</f>
        <v>19580.199999999997</v>
      </c>
      <c r="I77" s="22" t="str">
        <f t="shared" si="23"/>
        <v/>
      </c>
      <c r="J77" s="22" t="str">
        <f t="shared" si="24"/>
        <v/>
      </c>
      <c r="K77" s="22" t="str">
        <f t="shared" si="25"/>
        <v/>
      </c>
      <c r="L77" s="22" t="str">
        <f t="shared" si="26"/>
        <v/>
      </c>
      <c r="M77" s="22" t="str">
        <f t="shared" si="33"/>
        <v/>
      </c>
      <c r="N77" s="22" t="str">
        <f t="shared" si="27"/>
        <v/>
      </c>
      <c r="O77" s="213">
        <f>IF($F$8&gt;48,($P$17),IF($A$76=$F$8,O65+O53+O41+O28,""))</f>
        <v>2500</v>
      </c>
      <c r="P77" s="22"/>
      <c r="Q77" s="68" t="str">
        <f>IF(A76=$D$8,XIRR(S$28:S76,C$28:C76),"")</f>
        <v/>
      </c>
      <c r="R77" s="22" t="str">
        <f t="shared" si="4"/>
        <v/>
      </c>
      <c r="S77" s="22">
        <f t="shared" ca="1" si="6"/>
        <v>22080.199999999997</v>
      </c>
      <c r="T77" s="15">
        <f t="shared" ca="1" si="7"/>
        <v>2025</v>
      </c>
      <c r="U77" s="15">
        <f t="shared" ca="1" si="8"/>
        <v>365</v>
      </c>
      <c r="V77" s="15">
        <f t="shared" ca="1" si="9"/>
        <v>1</v>
      </c>
      <c r="W77" s="16">
        <f t="shared" ca="1" si="10"/>
        <v>0</v>
      </c>
      <c r="X77" s="17">
        <f t="shared" ca="1" si="11"/>
        <v>28</v>
      </c>
      <c r="Y77" s="15"/>
    </row>
    <row r="78" spans="1:25" x14ac:dyDescent="0.35">
      <c r="A78" s="25">
        <f t="shared" si="12"/>
        <v>50</v>
      </c>
      <c r="B78" s="21">
        <f ca="1">EDATE($B$28,50)</f>
        <v>45748</v>
      </c>
      <c r="C78" s="21">
        <f t="shared" ca="1" si="5"/>
        <v>45748</v>
      </c>
      <c r="D78" s="25">
        <f t="shared" ca="1" si="28"/>
        <v>31</v>
      </c>
      <c r="E78" s="22">
        <f t="shared" si="29"/>
        <v>166666.5033333326</v>
      </c>
      <c r="F78" s="22">
        <f>IF(AND(A77="",A79=""),"",IF(A78="",ROUND(SUM($F$29:F77),2),IF(A78=$D$8,$E$28-ROUND(SUM($F$29:F77),2),ROUND($E$28/$D$8,2))))</f>
        <v>16666.669999999998</v>
      </c>
      <c r="G78" s="22">
        <f ca="1">IF(A77=$D$8,ROUND(SUM($G$29:G77),2),IF(A78&gt;$F$8,"",IF(U78&lt;&gt;U77,ROUND(SUM(W78*$F$9*E77/U78,X78*$F$9*E77/U77),2),ROUND(E77*$F$9*D78/U77,2))))</f>
        <v>2956.89</v>
      </c>
      <c r="H78" s="22">
        <f ca="1">IF(A77=$D$8,SUM($H$29:H77),IF(A77&gt;$D$8,"",F78+G78))</f>
        <v>19623.559999999998</v>
      </c>
      <c r="I78" s="22" t="str">
        <f t="shared" si="23"/>
        <v/>
      </c>
      <c r="J78" s="22" t="str">
        <f t="shared" si="24"/>
        <v/>
      </c>
      <c r="K78" s="22" t="str">
        <f t="shared" si="25"/>
        <v/>
      </c>
      <c r="L78" s="22" t="str">
        <f t="shared" si="26"/>
        <v/>
      </c>
      <c r="M78" s="22" t="str">
        <f t="shared" si="33"/>
        <v/>
      </c>
      <c r="N78" s="22" t="str">
        <f t="shared" si="27"/>
        <v/>
      </c>
      <c r="O78" s="22" t="str">
        <f t="shared" si="31"/>
        <v/>
      </c>
      <c r="P78" s="22"/>
      <c r="Q78" s="68" t="str">
        <f>IF(A77=$D$8,XIRR(S$28:S77,C$28:C77),"")</f>
        <v/>
      </c>
      <c r="R78" s="22" t="str">
        <f t="shared" si="4"/>
        <v/>
      </c>
      <c r="S78" s="22">
        <f t="shared" ca="1" si="6"/>
        <v>19623.559999999998</v>
      </c>
      <c r="T78" s="15">
        <f t="shared" ca="1" si="7"/>
        <v>2025</v>
      </c>
      <c r="U78" s="15">
        <f t="shared" ca="1" si="8"/>
        <v>365</v>
      </c>
      <c r="V78" s="15">
        <f t="shared" ca="1" si="9"/>
        <v>1</v>
      </c>
      <c r="W78" s="16">
        <f t="shared" ca="1" si="10"/>
        <v>0</v>
      </c>
      <c r="X78" s="17">
        <f t="shared" ca="1" si="11"/>
        <v>31</v>
      </c>
      <c r="Y78" s="15"/>
    </row>
    <row r="79" spans="1:25" x14ac:dyDescent="0.35">
      <c r="A79" s="25">
        <f t="shared" si="12"/>
        <v>51</v>
      </c>
      <c r="B79" s="21">
        <f ca="1">EDATE($B$28,51)</f>
        <v>45778</v>
      </c>
      <c r="C79" s="21">
        <f t="shared" ca="1" si="5"/>
        <v>45778</v>
      </c>
      <c r="D79" s="25">
        <f t="shared" ca="1" si="28"/>
        <v>30</v>
      </c>
      <c r="E79" s="22">
        <f t="shared" si="29"/>
        <v>149999.83333333262</v>
      </c>
      <c r="F79" s="22">
        <f>IF(AND(A78="",A80=""),"",IF(A79="",ROUND(SUM($F$29:F78),2),IF(A79=$D$8,$E$28-ROUND(SUM($F$29:F78),2),ROUND($E$28/$D$8,2))))</f>
        <v>16666.669999999998</v>
      </c>
      <c r="G79" s="22">
        <f ca="1">IF(A78=$D$8,ROUND(SUM($G$29:G78),2),IF(A79&gt;$F$8,"",IF(U79&lt;&gt;U78,ROUND(SUM(W79*$F$9*E78/U79,X79*$F$9*E78/U78),2),ROUND(E78*$F$9*D79/U78,2))))</f>
        <v>2601.37</v>
      </c>
      <c r="H79" s="22">
        <f ca="1">IF(A78=$D$8,SUM($H$29:H78),IF(A78&gt;$D$8,"",F79+G79))</f>
        <v>19268.039999999997</v>
      </c>
      <c r="I79" s="22" t="str">
        <f t="shared" si="23"/>
        <v/>
      </c>
      <c r="J79" s="22" t="str">
        <f t="shared" si="24"/>
        <v/>
      </c>
      <c r="K79" s="22" t="str">
        <f t="shared" si="25"/>
        <v/>
      </c>
      <c r="L79" s="22" t="str">
        <f t="shared" si="26"/>
        <v/>
      </c>
      <c r="M79" s="22" t="str">
        <f t="shared" si="33"/>
        <v/>
      </c>
      <c r="N79" s="22" t="str">
        <f t="shared" si="27"/>
        <v/>
      </c>
      <c r="O79" s="22" t="str">
        <f t="shared" si="31"/>
        <v/>
      </c>
      <c r="P79" s="22"/>
      <c r="Q79" s="68" t="str">
        <f>IF(A78=$D$8,XIRR(S$28:S78,C$28:C78),"")</f>
        <v/>
      </c>
      <c r="R79" s="22" t="str">
        <f t="shared" si="4"/>
        <v/>
      </c>
      <c r="S79" s="22">
        <f t="shared" ca="1" si="6"/>
        <v>19268.039999999997</v>
      </c>
      <c r="T79" s="15">
        <f t="shared" ca="1" si="7"/>
        <v>2025</v>
      </c>
      <c r="U79" s="15">
        <f t="shared" ca="1" si="8"/>
        <v>365</v>
      </c>
      <c r="V79" s="15">
        <f t="shared" ca="1" si="9"/>
        <v>1</v>
      </c>
      <c r="W79" s="16">
        <f t="shared" ca="1" si="10"/>
        <v>0</v>
      </c>
      <c r="X79" s="17">
        <f t="shared" ca="1" si="11"/>
        <v>30</v>
      </c>
      <c r="Y79" s="15"/>
    </row>
    <row r="80" spans="1:25" x14ac:dyDescent="0.35">
      <c r="A80" s="25">
        <f t="shared" si="12"/>
        <v>52</v>
      </c>
      <c r="B80" s="21">
        <f ca="1">EDATE($B$28,52)</f>
        <v>45809</v>
      </c>
      <c r="C80" s="21">
        <f t="shared" ca="1" si="5"/>
        <v>45809</v>
      </c>
      <c r="D80" s="25">
        <f t="shared" ca="1" si="28"/>
        <v>31</v>
      </c>
      <c r="E80" s="22">
        <f t="shared" si="29"/>
        <v>133333.16333333263</v>
      </c>
      <c r="F80" s="22">
        <f>IF(AND(A79="",A81=""),"",IF(A80="",ROUND(SUM($F$29:F79),2),IF(A80=$D$8,$E$28-ROUND(SUM($F$29:F79),2),ROUND($E$28/$D$8,2))))</f>
        <v>16666.669999999998</v>
      </c>
      <c r="G80" s="22">
        <f ca="1">IF(A79=$D$8,ROUND(SUM($G$29:G79),2),IF(A80&gt;$F$8,"",IF(U80&lt;&gt;U79,ROUND(SUM(W80*$F$9*E79/U80,X80*$F$9*E79/U79),2),ROUND(E79*$F$9*D80/U79,2))))</f>
        <v>2419.27</v>
      </c>
      <c r="H80" s="22">
        <f ca="1">IF(A79=$D$8,SUM($H$29:H79),IF(A79&gt;$D$8,"",F80+G80))</f>
        <v>19085.939999999999</v>
      </c>
      <c r="I80" s="22" t="str">
        <f t="shared" si="23"/>
        <v/>
      </c>
      <c r="J80" s="22" t="str">
        <f t="shared" si="24"/>
        <v/>
      </c>
      <c r="K80" s="22" t="str">
        <f t="shared" si="25"/>
        <v/>
      </c>
      <c r="L80" s="22" t="str">
        <f t="shared" si="26"/>
        <v/>
      </c>
      <c r="M80" s="22" t="str">
        <f t="shared" si="33"/>
        <v/>
      </c>
      <c r="N80" s="22" t="str">
        <f t="shared" si="27"/>
        <v/>
      </c>
      <c r="O80" s="22" t="str">
        <f t="shared" si="31"/>
        <v/>
      </c>
      <c r="P80" s="22"/>
      <c r="Q80" s="68" t="str">
        <f>IF(A79=$D$8,XIRR(S$28:S79,C$28:C79),"")</f>
        <v/>
      </c>
      <c r="R80" s="22" t="str">
        <f t="shared" si="4"/>
        <v/>
      </c>
      <c r="S80" s="22">
        <f t="shared" ca="1" si="6"/>
        <v>19085.939999999999</v>
      </c>
      <c r="T80" s="15">
        <f t="shared" ca="1" si="7"/>
        <v>2025</v>
      </c>
      <c r="U80" s="15">
        <f t="shared" ca="1" si="8"/>
        <v>365</v>
      </c>
      <c r="V80" s="15">
        <f t="shared" ca="1" si="9"/>
        <v>1</v>
      </c>
      <c r="W80" s="16">
        <f t="shared" ca="1" si="10"/>
        <v>0</v>
      </c>
      <c r="X80" s="17">
        <f t="shared" ca="1" si="11"/>
        <v>31</v>
      </c>
      <c r="Y80" s="15"/>
    </row>
    <row r="81" spans="1:25" x14ac:dyDescent="0.35">
      <c r="A81" s="25">
        <f t="shared" si="12"/>
        <v>53</v>
      </c>
      <c r="B81" s="21">
        <f ca="1">EDATE($B$28,53)</f>
        <v>45839</v>
      </c>
      <c r="C81" s="21">
        <f t="shared" ca="1" si="5"/>
        <v>45839</v>
      </c>
      <c r="D81" s="25">
        <f t="shared" ca="1" si="28"/>
        <v>30</v>
      </c>
      <c r="E81" s="22">
        <f t="shared" si="29"/>
        <v>116666.49333333263</v>
      </c>
      <c r="F81" s="22">
        <f>IF(AND(A80="",A82=""),"",IF(A81="",ROUND(SUM($F$29:F80),2),IF(A81=$D$8,$E$28-ROUND(SUM($F$29:F80),2),ROUND($E$28/$D$8,2))))</f>
        <v>16666.669999999998</v>
      </c>
      <c r="G81" s="22">
        <f ca="1">IF(A80=$D$8,ROUND(SUM($G$29:G80),2),IF(A81&gt;$F$8,"",IF(U81&lt;&gt;U80,ROUND(SUM(W81*$F$9*E80/U81,X81*$F$9*E80/U80),2),ROUND(E80*$F$9*D81/U80,2))))</f>
        <v>2081.09</v>
      </c>
      <c r="H81" s="22">
        <f ca="1">IF(A80=$D$8,SUM($H$29:H80),IF(A80&gt;$D$8,"",F81+G81))</f>
        <v>18747.759999999998</v>
      </c>
      <c r="I81" s="22" t="str">
        <f t="shared" si="23"/>
        <v/>
      </c>
      <c r="J81" s="22" t="str">
        <f t="shared" si="24"/>
        <v/>
      </c>
      <c r="K81" s="22" t="str">
        <f t="shared" si="25"/>
        <v/>
      </c>
      <c r="L81" s="22" t="str">
        <f t="shared" si="26"/>
        <v/>
      </c>
      <c r="M81" s="22" t="str">
        <f t="shared" si="33"/>
        <v/>
      </c>
      <c r="N81" s="22" t="str">
        <f t="shared" si="27"/>
        <v/>
      </c>
      <c r="O81" s="22" t="str">
        <f t="shared" si="31"/>
        <v/>
      </c>
      <c r="P81" s="22"/>
      <c r="Q81" s="68" t="str">
        <f>IF(A80=$D$8,XIRR(S$28:S80,C$28:C80),"")</f>
        <v/>
      </c>
      <c r="R81" s="22" t="str">
        <f t="shared" si="4"/>
        <v/>
      </c>
      <c r="S81" s="22">
        <f t="shared" ca="1" si="6"/>
        <v>18747.759999999998</v>
      </c>
      <c r="T81" s="15">
        <f t="shared" ca="1" si="7"/>
        <v>2025</v>
      </c>
      <c r="U81" s="15">
        <f t="shared" ca="1" si="8"/>
        <v>365</v>
      </c>
      <c r="V81" s="15">
        <f t="shared" ca="1" si="9"/>
        <v>1</v>
      </c>
      <c r="W81" s="16">
        <f t="shared" ca="1" si="10"/>
        <v>0</v>
      </c>
      <c r="X81" s="17">
        <f t="shared" ca="1" si="11"/>
        <v>30</v>
      </c>
      <c r="Y81" s="15"/>
    </row>
    <row r="82" spans="1:25" x14ac:dyDescent="0.35">
      <c r="A82" s="25">
        <f t="shared" si="12"/>
        <v>54</v>
      </c>
      <c r="B82" s="21">
        <f ca="1">EDATE($B$28,54)</f>
        <v>45870</v>
      </c>
      <c r="C82" s="21">
        <f t="shared" ca="1" si="5"/>
        <v>45870</v>
      </c>
      <c r="D82" s="25">
        <f t="shared" ca="1" si="28"/>
        <v>31</v>
      </c>
      <c r="E82" s="22">
        <f t="shared" si="29"/>
        <v>99999.823333332635</v>
      </c>
      <c r="F82" s="22">
        <f>IF(AND(A81="",A83=""),"",IF(A82="",ROUND(SUM($F$29:F81),2),IF(A82=$D$8,$E$28-ROUND(SUM($F$29:F81),2),ROUND($E$28/$D$8,2))))</f>
        <v>16666.669999999998</v>
      </c>
      <c r="G82" s="22">
        <f ca="1">IF(A81=$D$8,ROUND(SUM($G$29:G81),2),IF(A82&gt;$F$8,"",IF(U82&lt;&gt;U81,ROUND(SUM(W82*$F$9*E81/U82,X82*$F$9*E81/U81),2),ROUND(E81*$F$9*D82/U81,2))))</f>
        <v>1881.65</v>
      </c>
      <c r="H82" s="22">
        <f ca="1">IF(A81=$D$8,SUM($H$29:H81),IF(A81&gt;$D$8,"",F82+G82))</f>
        <v>18548.32</v>
      </c>
      <c r="I82" s="22" t="str">
        <f t="shared" si="23"/>
        <v/>
      </c>
      <c r="J82" s="22" t="str">
        <f t="shared" si="24"/>
        <v/>
      </c>
      <c r="K82" s="22" t="str">
        <f t="shared" si="25"/>
        <v/>
      </c>
      <c r="L82" s="22" t="str">
        <f t="shared" si="26"/>
        <v/>
      </c>
      <c r="M82" s="22" t="str">
        <f t="shared" si="33"/>
        <v/>
      </c>
      <c r="N82" s="22" t="str">
        <f t="shared" si="27"/>
        <v/>
      </c>
      <c r="O82" s="22" t="str">
        <f t="shared" si="31"/>
        <v/>
      </c>
      <c r="P82" s="22"/>
      <c r="Q82" s="68" t="str">
        <f>IF(A81=$D$8,XIRR(S$28:S81,C$28:C81),"")</f>
        <v/>
      </c>
      <c r="R82" s="22" t="str">
        <f t="shared" si="4"/>
        <v/>
      </c>
      <c r="S82" s="22">
        <f t="shared" ca="1" si="6"/>
        <v>18548.32</v>
      </c>
      <c r="T82" s="15">
        <f t="shared" ca="1" si="7"/>
        <v>2025</v>
      </c>
      <c r="U82" s="15">
        <f t="shared" ca="1" si="8"/>
        <v>365</v>
      </c>
      <c r="V82" s="15">
        <f t="shared" ca="1" si="9"/>
        <v>1</v>
      </c>
      <c r="W82" s="16">
        <f t="shared" ca="1" si="10"/>
        <v>0</v>
      </c>
      <c r="X82" s="17">
        <f t="shared" ca="1" si="11"/>
        <v>31</v>
      </c>
      <c r="Y82" s="15"/>
    </row>
    <row r="83" spans="1:25" x14ac:dyDescent="0.35">
      <c r="A83" s="25">
        <f t="shared" si="12"/>
        <v>55</v>
      </c>
      <c r="B83" s="21">
        <f ca="1">EDATE($B$28,55)</f>
        <v>45901</v>
      </c>
      <c r="C83" s="21">
        <f t="shared" ca="1" si="5"/>
        <v>45901</v>
      </c>
      <c r="D83" s="25">
        <f t="shared" ca="1" si="28"/>
        <v>31</v>
      </c>
      <c r="E83" s="22">
        <f t="shared" si="29"/>
        <v>83333.153333332637</v>
      </c>
      <c r="F83" s="22">
        <f>IF(AND(A82="",A84=""),"",IF(A83="",ROUND(SUM($F$29:F82),2),IF(A83=$D$8,$E$28-ROUND(SUM($F$29:F82),2),ROUND($E$28/$D$8,2))))</f>
        <v>16666.669999999998</v>
      </c>
      <c r="G83" s="22">
        <f ca="1">IF(A82=$D$8,ROUND(SUM($G$29:G82),2),IF(A83&gt;$F$8,"",IF(U83&lt;&gt;U82,ROUND(SUM(W83*$F$9*E82/U83,X83*$F$9*E82/U82),2),ROUND(E82*$F$9*D83/U82,2))))</f>
        <v>1612.85</v>
      </c>
      <c r="H83" s="22">
        <f ca="1">IF(A82=$D$8,SUM($H$29:H82),IF(A82&gt;$D$8,"",F83+G83))</f>
        <v>18279.519999999997</v>
      </c>
      <c r="I83" s="22" t="str">
        <f t="shared" si="23"/>
        <v/>
      </c>
      <c r="J83" s="22" t="str">
        <f t="shared" si="24"/>
        <v/>
      </c>
      <c r="K83" s="22" t="str">
        <f t="shared" si="25"/>
        <v/>
      </c>
      <c r="L83" s="22" t="str">
        <f t="shared" si="26"/>
        <v/>
      </c>
      <c r="M83" s="22" t="str">
        <f t="shared" si="33"/>
        <v/>
      </c>
      <c r="N83" s="22" t="str">
        <f t="shared" si="27"/>
        <v/>
      </c>
      <c r="O83" s="22" t="str">
        <f t="shared" si="31"/>
        <v/>
      </c>
      <c r="P83" s="22"/>
      <c r="Q83" s="68" t="str">
        <f>IF(A82=$D$8,XIRR(S$28:S82,C$28:C82),"")</f>
        <v/>
      </c>
      <c r="R83" s="22" t="str">
        <f t="shared" si="4"/>
        <v/>
      </c>
      <c r="S83" s="22">
        <f t="shared" ca="1" si="6"/>
        <v>18279.519999999997</v>
      </c>
      <c r="T83" s="15">
        <f t="shared" ca="1" si="7"/>
        <v>2025</v>
      </c>
      <c r="U83" s="15">
        <f t="shared" ca="1" si="8"/>
        <v>365</v>
      </c>
      <c r="V83" s="15">
        <f t="shared" ca="1" si="9"/>
        <v>1</v>
      </c>
      <c r="W83" s="16">
        <f t="shared" ca="1" si="10"/>
        <v>0</v>
      </c>
      <c r="X83" s="17">
        <f t="shared" ca="1" si="11"/>
        <v>31</v>
      </c>
      <c r="Y83" s="15"/>
    </row>
    <row r="84" spans="1:25" x14ac:dyDescent="0.35">
      <c r="A84" s="25">
        <f t="shared" si="12"/>
        <v>56</v>
      </c>
      <c r="B84" s="21">
        <f ca="1">EDATE($B$28,56)</f>
        <v>45931</v>
      </c>
      <c r="C84" s="21">
        <f t="shared" ca="1" si="5"/>
        <v>45931</v>
      </c>
      <c r="D84" s="25">
        <f t="shared" ca="1" si="28"/>
        <v>30</v>
      </c>
      <c r="E84" s="22">
        <f t="shared" si="29"/>
        <v>66666.483333332639</v>
      </c>
      <c r="F84" s="22">
        <f>IF(AND(A83="",A85=""),"",IF(A84="",ROUND(SUM($F$29:F83),2),IF(A84=$D$8,$E$28-ROUND(SUM($F$29:F83),2),ROUND($E$28/$D$8,2))))</f>
        <v>16666.669999999998</v>
      </c>
      <c r="G84" s="22">
        <f ca="1">IF(A83=$D$8,ROUND(SUM($G$29:G83),2),IF(A84&gt;$F$8,"",IF(U84&lt;&gt;U83,ROUND(SUM(W84*$F$9*E83/U84,X84*$F$9*E83/U83),2),ROUND(E83*$F$9*D84/U83,2))))</f>
        <v>1300.68</v>
      </c>
      <c r="H84" s="22">
        <f ca="1">IF(A83=$D$8,SUM($H$29:H83),IF(A83&gt;$D$8,"",F84+G84))</f>
        <v>17967.349999999999</v>
      </c>
      <c r="I84" s="22" t="str">
        <f t="shared" si="23"/>
        <v/>
      </c>
      <c r="J84" s="22" t="str">
        <f t="shared" si="24"/>
        <v/>
      </c>
      <c r="K84" s="22" t="str">
        <f t="shared" si="25"/>
        <v/>
      </c>
      <c r="L84" s="22" t="str">
        <f t="shared" si="26"/>
        <v/>
      </c>
      <c r="M84" s="22" t="str">
        <f t="shared" si="33"/>
        <v/>
      </c>
      <c r="N84" s="22" t="str">
        <f t="shared" si="27"/>
        <v/>
      </c>
      <c r="O84" s="22" t="str">
        <f t="shared" si="31"/>
        <v/>
      </c>
      <c r="P84" s="22"/>
      <c r="Q84" s="68" t="str">
        <f>IF(A83=$D$8,XIRR(S$28:S83,C$28:C83),"")</f>
        <v/>
      </c>
      <c r="R84" s="22" t="str">
        <f t="shared" si="4"/>
        <v/>
      </c>
      <c r="S84" s="22">
        <f t="shared" ca="1" si="6"/>
        <v>17967.349999999999</v>
      </c>
      <c r="T84" s="15">
        <f t="shared" ca="1" si="7"/>
        <v>2025</v>
      </c>
      <c r="U84" s="15">
        <f t="shared" ca="1" si="8"/>
        <v>365</v>
      </c>
      <c r="V84" s="15">
        <f t="shared" ca="1" si="9"/>
        <v>1</v>
      </c>
      <c r="W84" s="16">
        <f t="shared" ca="1" si="10"/>
        <v>0</v>
      </c>
      <c r="X84" s="17">
        <f t="shared" ca="1" si="11"/>
        <v>30</v>
      </c>
      <c r="Y84" s="15"/>
    </row>
    <row r="85" spans="1:25" x14ac:dyDescent="0.35">
      <c r="A85" s="25">
        <f t="shared" si="12"/>
        <v>57</v>
      </c>
      <c r="B85" s="21">
        <f ca="1">EDATE($B$28,57)</f>
        <v>45962</v>
      </c>
      <c r="C85" s="21">
        <f t="shared" ca="1" si="5"/>
        <v>45962</v>
      </c>
      <c r="D85" s="25">
        <f t="shared" ca="1" si="28"/>
        <v>31</v>
      </c>
      <c r="E85" s="22">
        <f t="shared" si="29"/>
        <v>49999.81333333264</v>
      </c>
      <c r="F85" s="22">
        <f>IF(AND(A84="",A86=""),"",IF(A85="",ROUND(SUM($F$29:F84),2),IF(A85=$D$8,$E$28-ROUND(SUM($F$29:F84),2),ROUND($E$28/$D$8,2))))</f>
        <v>16666.669999999998</v>
      </c>
      <c r="G85" s="22">
        <f ca="1">IF(A84=$D$8,ROUND(SUM($G$29:G84),2),IF(A85&gt;$F$8,"",IF(U85&lt;&gt;U84,ROUND(SUM(W85*$F$9*E84/U85,X85*$F$9*E84/U84),2),ROUND(E84*$F$9*D85/U84,2))))</f>
        <v>1075.23</v>
      </c>
      <c r="H85" s="22">
        <f ca="1">IF(A84=$D$8,SUM($H$29:H84),IF(A84&gt;$D$8,"",F85+G85))</f>
        <v>17741.899999999998</v>
      </c>
      <c r="I85" s="22" t="str">
        <f t="shared" si="23"/>
        <v/>
      </c>
      <c r="J85" s="22" t="str">
        <f t="shared" si="24"/>
        <v/>
      </c>
      <c r="K85" s="22" t="str">
        <f t="shared" si="25"/>
        <v/>
      </c>
      <c r="L85" s="22" t="str">
        <f t="shared" si="26"/>
        <v/>
      </c>
      <c r="M85" s="22" t="str">
        <f t="shared" si="33"/>
        <v/>
      </c>
      <c r="N85" s="22" t="str">
        <f t="shared" si="27"/>
        <v/>
      </c>
      <c r="O85" s="22" t="str">
        <f t="shared" si="31"/>
        <v/>
      </c>
      <c r="P85" s="22"/>
      <c r="Q85" s="68" t="str">
        <f>IF(A84=$D$8,XIRR(S$28:S84,C$28:C84),"")</f>
        <v/>
      </c>
      <c r="R85" s="22" t="str">
        <f t="shared" si="4"/>
        <v/>
      </c>
      <c r="S85" s="22">
        <f t="shared" ca="1" si="6"/>
        <v>17741.899999999998</v>
      </c>
      <c r="T85" s="15">
        <f t="shared" ca="1" si="7"/>
        <v>2025</v>
      </c>
      <c r="U85" s="15">
        <f t="shared" ca="1" si="8"/>
        <v>365</v>
      </c>
      <c r="V85" s="15">
        <f t="shared" ca="1" si="9"/>
        <v>1</v>
      </c>
      <c r="W85" s="16">
        <f t="shared" ca="1" si="10"/>
        <v>0</v>
      </c>
      <c r="X85" s="17">
        <f t="shared" ca="1" si="11"/>
        <v>31</v>
      </c>
      <c r="Y85" s="15"/>
    </row>
    <row r="86" spans="1:25" x14ac:dyDescent="0.35">
      <c r="A86" s="25">
        <f t="shared" si="12"/>
        <v>58</v>
      </c>
      <c r="B86" s="21">
        <f ca="1">EDATE($B$28,58)</f>
        <v>45992</v>
      </c>
      <c r="C86" s="21">
        <f t="shared" ca="1" si="5"/>
        <v>45992</v>
      </c>
      <c r="D86" s="25">
        <f t="shared" ca="1" si="28"/>
        <v>30</v>
      </c>
      <c r="E86" s="22">
        <f t="shared" si="29"/>
        <v>33333.143333332642</v>
      </c>
      <c r="F86" s="22">
        <f>IF(AND(A85="",A87=""),"",IF(A86="",ROUND(SUM($F$29:F85),2),IF(A86=$D$8,$E$28-ROUND(SUM($F$29:F85),2),ROUND($E$28/$D$8,2))))</f>
        <v>16666.669999999998</v>
      </c>
      <c r="G86" s="22">
        <f ca="1">IF(A85=$D$8,ROUND(SUM($G$29:G85),2),IF(A86&gt;$F$8,"",IF(U86&lt;&gt;U85,ROUND(SUM(W86*$F$9*E85/U86,X86*$F$9*E85/U85),2),ROUND(E85*$F$9*D86/U85,2))))</f>
        <v>780.41</v>
      </c>
      <c r="H86" s="22">
        <f ca="1">IF(A85=$D$8,SUM($H$29:H85),IF(A85&gt;$D$8,"",F86+G86))</f>
        <v>17447.079999999998</v>
      </c>
      <c r="I86" s="22" t="str">
        <f t="shared" si="23"/>
        <v/>
      </c>
      <c r="J86" s="22" t="str">
        <f t="shared" si="24"/>
        <v/>
      </c>
      <c r="K86" s="22" t="str">
        <f t="shared" si="25"/>
        <v/>
      </c>
      <c r="L86" s="22" t="str">
        <f t="shared" si="26"/>
        <v/>
      </c>
      <c r="M86" s="22" t="str">
        <f t="shared" si="33"/>
        <v/>
      </c>
      <c r="N86" s="22" t="str">
        <f t="shared" si="27"/>
        <v/>
      </c>
      <c r="O86" s="22" t="str">
        <f t="shared" si="31"/>
        <v/>
      </c>
      <c r="P86" s="22"/>
      <c r="Q86" s="68" t="str">
        <f>IF(A85=$D$8,XIRR(S$28:S85,C$28:C85),"")</f>
        <v/>
      </c>
      <c r="R86" s="22" t="str">
        <f t="shared" si="4"/>
        <v/>
      </c>
      <c r="S86" s="22">
        <f t="shared" ca="1" si="6"/>
        <v>17447.079999999998</v>
      </c>
      <c r="T86" s="15">
        <f t="shared" ca="1" si="7"/>
        <v>2025</v>
      </c>
      <c r="U86" s="15">
        <f t="shared" ca="1" si="8"/>
        <v>365</v>
      </c>
      <c r="V86" s="15">
        <f t="shared" ca="1" si="9"/>
        <v>1</v>
      </c>
      <c r="W86" s="16">
        <f t="shared" ca="1" si="10"/>
        <v>0</v>
      </c>
      <c r="X86" s="17">
        <f t="shared" ca="1" si="11"/>
        <v>30</v>
      </c>
      <c r="Y86" s="15"/>
    </row>
    <row r="87" spans="1:25" x14ac:dyDescent="0.35">
      <c r="A87" s="25">
        <f t="shared" si="12"/>
        <v>59</v>
      </c>
      <c r="B87" s="21">
        <f ca="1">EDATE($B$28,59)</f>
        <v>46023</v>
      </c>
      <c r="C87" s="21">
        <f t="shared" ca="1" si="5"/>
        <v>46023</v>
      </c>
      <c r="D87" s="25">
        <f t="shared" ca="1" si="28"/>
        <v>31</v>
      </c>
      <c r="E87" s="22">
        <f t="shared" si="29"/>
        <v>16666.473333332644</v>
      </c>
      <c r="F87" s="22">
        <f>IF(AND(A86="",A88=""),"",IF(A87="",ROUND(SUM($F$29:F86),2),IF(A87=$D$8,$E$28-ROUND(SUM($F$29:F86),2),ROUND($E$28/$D$8,2))))</f>
        <v>16666.669999999998</v>
      </c>
      <c r="G87" s="22">
        <f ca="1">IF(A86=$D$8,ROUND(SUM($G$29:G86),2),IF(A87&gt;$F$8,"",IF(U87&lt;&gt;U86,ROUND(SUM(W87*$F$9*E86/U87,X87*$F$9*E86/U86),2),ROUND(E86*$F$9*D87/U86,2))))</f>
        <v>537.61</v>
      </c>
      <c r="H87" s="22">
        <f ca="1">IF(A86=$D$8,SUM($H$29:H86),IF(A86&gt;$D$8,"",F87+G87))</f>
        <v>17204.28</v>
      </c>
      <c r="I87" s="22" t="str">
        <f t="shared" si="23"/>
        <v/>
      </c>
      <c r="J87" s="22" t="str">
        <f t="shared" si="24"/>
        <v/>
      </c>
      <c r="K87" s="22" t="str">
        <f t="shared" si="25"/>
        <v/>
      </c>
      <c r="L87" s="22" t="str">
        <f t="shared" si="26"/>
        <v/>
      </c>
      <c r="M87" s="22" t="str">
        <f t="shared" si="33"/>
        <v/>
      </c>
      <c r="N87" s="22" t="str">
        <f t="shared" si="27"/>
        <v/>
      </c>
      <c r="O87" s="22" t="str">
        <f t="shared" si="31"/>
        <v/>
      </c>
      <c r="P87" s="22"/>
      <c r="Q87" s="68" t="str">
        <f>IF(A86=$D$8,XIRR(S$28:S86,C$28:C86),"")</f>
        <v/>
      </c>
      <c r="R87" s="22" t="str">
        <f t="shared" si="4"/>
        <v/>
      </c>
      <c r="S87" s="22">
        <f t="shared" ca="1" si="6"/>
        <v>17204.28</v>
      </c>
      <c r="T87" s="15">
        <f t="shared" ca="1" si="7"/>
        <v>2026</v>
      </c>
      <c r="U87" s="15">
        <f t="shared" ca="1" si="8"/>
        <v>365</v>
      </c>
      <c r="V87" s="15">
        <f t="shared" ca="1" si="9"/>
        <v>1</v>
      </c>
      <c r="W87" s="16">
        <f t="shared" ca="1" si="10"/>
        <v>0</v>
      </c>
      <c r="X87" s="17">
        <f t="shared" ca="1" si="11"/>
        <v>31</v>
      </c>
      <c r="Y87" s="15"/>
    </row>
    <row r="88" spans="1:25" x14ac:dyDescent="0.35">
      <c r="A88" s="25">
        <f t="shared" si="12"/>
        <v>60</v>
      </c>
      <c r="B88" s="21">
        <f ca="1">EDATE($B$28,60)</f>
        <v>46054</v>
      </c>
      <c r="C88" s="21">
        <f t="shared" ca="1" si="5"/>
        <v>46053</v>
      </c>
      <c r="D88" s="25">
        <f t="shared" ca="1" si="28"/>
        <v>30</v>
      </c>
      <c r="E88" s="22">
        <f t="shared" si="29"/>
        <v>3.3333326719002798E-3</v>
      </c>
      <c r="F88" s="22">
        <f>IF(AND(A87="",A89=""),"",IF(A88="",ROUND(SUM($F$29:F87),2),IF(A88=$D$8,$E$28-ROUND(SUM($F$29:F87),2),ROUND($E$28/$D$8,2))))</f>
        <v>16666.469999999972</v>
      </c>
      <c r="G88" s="22">
        <f ca="1">IF(A87=$D$8,ROUND(SUM($G$29:G87),2),IF(A88&gt;$F$8,"",IF(U88&lt;&gt;U87,ROUND(SUM(W88*$F$9*E87/U88,X88*$F$9*E87/U87),2),ROUND(E87*$F$9*D88/U87,2))))</f>
        <v>260.13</v>
      </c>
      <c r="H88" s="22">
        <f ca="1">IF(A87=$D$8,SUM($H$29:H87),IF(A87&gt;$D$8,"",F88+G88))</f>
        <v>16926.599999999973</v>
      </c>
      <c r="I88" s="22" t="str">
        <f t="shared" si="23"/>
        <v/>
      </c>
      <c r="J88" s="22" t="str">
        <f t="shared" si="24"/>
        <v/>
      </c>
      <c r="K88" s="22" t="str">
        <f t="shared" si="25"/>
        <v/>
      </c>
      <c r="L88" s="22" t="str">
        <f t="shared" si="26"/>
        <v/>
      </c>
      <c r="M88" s="22" t="str">
        <f t="shared" si="33"/>
        <v/>
      </c>
      <c r="N88" s="22" t="str">
        <f t="shared" si="27"/>
        <v/>
      </c>
      <c r="O88" s="22" t="str">
        <f t="shared" si="31"/>
        <v/>
      </c>
      <c r="P88" s="22"/>
      <c r="Q88" s="68" t="str">
        <f>IF(A87=$D$8,XIRR(S$28:S87,C$28:C87),"")</f>
        <v/>
      </c>
      <c r="R88" s="22" t="str">
        <f t="shared" si="4"/>
        <v/>
      </c>
      <c r="S88" s="22">
        <f t="shared" ca="1" si="6"/>
        <v>16926.599999999973</v>
      </c>
      <c r="T88" s="15">
        <f t="shared" ca="1" si="7"/>
        <v>2026</v>
      </c>
      <c r="U88" s="15">
        <f t="shared" ca="1" si="8"/>
        <v>365</v>
      </c>
      <c r="V88" s="15">
        <f t="shared" ca="1" si="9"/>
        <v>31</v>
      </c>
      <c r="W88" s="16">
        <f t="shared" ca="1" si="10"/>
        <v>30</v>
      </c>
      <c r="X88" s="17">
        <f t="shared" ca="1" si="11"/>
        <v>0</v>
      </c>
      <c r="Y88" s="15"/>
    </row>
    <row r="89" spans="1:25" x14ac:dyDescent="0.35">
      <c r="A89" s="25" t="str">
        <f t="shared" si="12"/>
        <v/>
      </c>
      <c r="B89" s="21">
        <f ca="1">EDATE($B$28,61)</f>
        <v>46082</v>
      </c>
      <c r="C89" s="21" t="str">
        <f t="shared" ca="1" si="5"/>
        <v xml:space="preserve"> </v>
      </c>
      <c r="D89" s="25" t="str">
        <f t="shared" si="28"/>
        <v/>
      </c>
      <c r="E89" s="22" t="str">
        <f t="shared" si="29"/>
        <v/>
      </c>
      <c r="F89" s="22">
        <f>IF(AND(A88="",A90=""),"",IF(A89="",ROUND(SUM($F$29:F88),2),IF(A89=$D$8,$E$28-ROUND(SUM($F$29:F88),2),ROUND($E$28/$D$8,2))))</f>
        <v>1000000</v>
      </c>
      <c r="G89" s="22">
        <f ca="1">IF(A88=$D$8,SUM($G$29:G88),IF(A89&gt;$F$8,"",IF(U89&lt;&gt;U88,SUM(W89*$F$24*E88/U89,X89*$F$24*E88/U88),E88*$F$24*D89/U88)))</f>
        <v>436462.2</v>
      </c>
      <c r="H89" s="22">
        <f ca="1">IF(A88=$D$8,SUM($H$29:H88),IF(A88&gt;$D$8,"",F89+G89))</f>
        <v>1436462.1966666668</v>
      </c>
      <c r="I89" s="22">
        <f t="shared" si="23"/>
        <v>0</v>
      </c>
      <c r="J89" s="22">
        <f t="shared" si="24"/>
        <v>0</v>
      </c>
      <c r="K89" s="22">
        <f t="shared" si="25"/>
        <v>59900</v>
      </c>
      <c r="L89" s="22">
        <f t="shared" si="26"/>
        <v>0</v>
      </c>
      <c r="M89" s="22">
        <f t="shared" si="33"/>
        <v>10000</v>
      </c>
      <c r="N89" s="22">
        <f t="shared" si="27"/>
        <v>0</v>
      </c>
      <c r="O89" s="213">
        <f>IF($F$8&gt;60,($P$17),IF($A$88=$F$8,O77+O65+O53+O41+O28,""))</f>
        <v>12500</v>
      </c>
      <c r="P89" s="22"/>
      <c r="Q89" s="68">
        <f ca="1">IF(A88=$D$8,XIRR(S$28:S88,C$28:C88),"")</f>
        <v>0.2298145353794098</v>
      </c>
      <c r="R89" s="22">
        <f ca="1">IF(A88=$D$8,G89+$M$28+$P$28+F89+$I$28+$J$28+$K$28+$L$28+$N$28+$P$18,"")</f>
        <v>1518543.2</v>
      </c>
      <c r="S89" s="22"/>
      <c r="T89" s="15" t="e">
        <f t="shared" ca="1" si="7"/>
        <v>#VALUE!</v>
      </c>
      <c r="U89" s="15" t="e">
        <f t="shared" ca="1" si="8"/>
        <v>#VALUE!</v>
      </c>
      <c r="V89" s="15" t="e">
        <f t="shared" ref="V89:V112" ca="1" si="34">IF(C89="","",DAY(C89))</f>
        <v>#VALUE!</v>
      </c>
      <c r="W89" s="16" t="e">
        <f t="shared" ref="W89:W112" ca="1" si="35">V89-1</f>
        <v>#VALUE!</v>
      </c>
      <c r="X89" s="17" t="e">
        <f t="shared" ref="X89:X112" ca="1" si="36">D89-W89</f>
        <v>#VALUE!</v>
      </c>
      <c r="Y89" s="15"/>
    </row>
    <row r="90" spans="1:25" x14ac:dyDescent="0.35">
      <c r="A90" s="25" t="str">
        <f t="shared" si="12"/>
        <v/>
      </c>
      <c r="B90" s="21">
        <f ca="1">EDATE($B$28,62)</f>
        <v>46113</v>
      </c>
      <c r="C90" s="21" t="str">
        <f t="shared" ca="1" si="5"/>
        <v xml:space="preserve"> </v>
      </c>
      <c r="D90" s="25" t="str">
        <f t="shared" si="28"/>
        <v/>
      </c>
      <c r="E90" s="22" t="str">
        <f t="shared" si="29"/>
        <v/>
      </c>
      <c r="F90" s="22" t="str">
        <f>IF(AND(A89="",A91=""),"",IF(A90="",ROUND(SUM($F$29:F89),2),IF(A90=$D$8,$E$28-ROUND(SUM($F$29:F89),2),ROUND($E$28/$D$8,2))))</f>
        <v/>
      </c>
      <c r="G90" s="22" t="str">
        <f>IF(A89=$D$8,SUM($G$29:G89),IF(A90&gt;$F$8,"",IF(U90&lt;&gt;U89,SUM(W90*$F$24*E89/U90,X90*$F$24*E89/U89),E89*$F$24*D90/U89)))</f>
        <v/>
      </c>
      <c r="H90" s="22" t="str">
        <f>IF(A89=$D$8,SUM($H$29:H89),IF(A89&gt;$D$8,"",F90+G90))</f>
        <v/>
      </c>
      <c r="I90" s="22"/>
      <c r="J90" s="22"/>
      <c r="K90" s="22"/>
      <c r="L90" s="22"/>
      <c r="M90" s="22" t="str">
        <f t="shared" si="33"/>
        <v/>
      </c>
      <c r="N90" s="22"/>
      <c r="O90" s="22"/>
      <c r="P90" s="22"/>
      <c r="Q90" s="68" t="str">
        <f>IF(A89=$D$8,XIRR(H$28:H89,C$28:C89),"")</f>
        <v/>
      </c>
      <c r="R90" s="22" t="str">
        <f t="shared" ref="R90:R93" si="37">IF(A89=$D$8,G90+M90+F90,"")</f>
        <v/>
      </c>
      <c r="S90" s="22"/>
      <c r="T90" s="15" t="e">
        <f t="shared" ca="1" si="7"/>
        <v>#VALUE!</v>
      </c>
      <c r="U90" s="15" t="e">
        <f t="shared" ca="1" si="8"/>
        <v>#VALUE!</v>
      </c>
      <c r="V90" s="15" t="e">
        <f t="shared" ca="1" si="34"/>
        <v>#VALUE!</v>
      </c>
      <c r="W90" s="16" t="e">
        <f t="shared" ca="1" si="35"/>
        <v>#VALUE!</v>
      </c>
      <c r="X90" s="17" t="e">
        <f t="shared" ca="1" si="36"/>
        <v>#VALUE!</v>
      </c>
      <c r="Y90" s="15"/>
    </row>
    <row r="91" spans="1:25" x14ac:dyDescent="0.35">
      <c r="A91" s="25" t="str">
        <f t="shared" si="12"/>
        <v/>
      </c>
      <c r="B91" s="21">
        <f ca="1">EDATE($B$28,63)</f>
        <v>46143</v>
      </c>
      <c r="C91" s="21" t="str">
        <f t="shared" ca="1" si="5"/>
        <v xml:space="preserve"> </v>
      </c>
      <c r="D91" s="25" t="str">
        <f t="shared" si="28"/>
        <v/>
      </c>
      <c r="E91" s="22" t="str">
        <f t="shared" si="29"/>
        <v/>
      </c>
      <c r="F91" s="22" t="str">
        <f>IF(AND(A90="",A92=""),"",IF(A91="",ROUND(SUM($F$29:F90),2),IF(A91=$D$8,$E$28-ROUND(SUM($F$29:F90),2),ROUND($E$28/$D$8,2))))</f>
        <v/>
      </c>
      <c r="G91" s="22" t="str">
        <f>IF(A90=$D$8,SUM($G$29:G90),IF(A91&gt;$F$8,"",IF(U91&lt;&gt;U90,SUM(W91*$F$24*E90/U91,X91*$F$24*E90/U90),E90*$F$24*D91/U90)))</f>
        <v/>
      </c>
      <c r="H91" s="22" t="str">
        <f>IF(A90=$D$8,SUM($H$29:H90),IF(A90&gt;$D$8,"",F91+G91))</f>
        <v/>
      </c>
      <c r="I91" s="22"/>
      <c r="J91" s="22"/>
      <c r="K91" s="22"/>
      <c r="L91" s="22"/>
      <c r="M91" s="22" t="str">
        <f t="shared" si="33"/>
        <v/>
      </c>
      <c r="N91" s="22"/>
      <c r="O91" s="22"/>
      <c r="P91" s="22"/>
      <c r="Q91" s="68" t="str">
        <f>IF(A90=$D$8,XIRR(H$28:H90,C$28:C90),"")</f>
        <v/>
      </c>
      <c r="R91" s="22" t="str">
        <f t="shared" si="37"/>
        <v/>
      </c>
      <c r="S91" s="22"/>
      <c r="T91" s="15" t="e">
        <f t="shared" ca="1" si="7"/>
        <v>#VALUE!</v>
      </c>
      <c r="U91" s="15" t="e">
        <f t="shared" ca="1" si="8"/>
        <v>#VALUE!</v>
      </c>
      <c r="V91" s="15" t="e">
        <f t="shared" ca="1" si="34"/>
        <v>#VALUE!</v>
      </c>
      <c r="W91" s="16" t="e">
        <f t="shared" ca="1" si="35"/>
        <v>#VALUE!</v>
      </c>
      <c r="X91" s="17" t="e">
        <f t="shared" ca="1" si="36"/>
        <v>#VALUE!</v>
      </c>
      <c r="Y91" s="15"/>
    </row>
    <row r="92" spans="1:25" x14ac:dyDescent="0.35">
      <c r="A92" s="25" t="str">
        <f t="shared" si="12"/>
        <v/>
      </c>
      <c r="B92" s="21">
        <f ca="1">EDATE($B$28,64)</f>
        <v>46174</v>
      </c>
      <c r="C92" s="21" t="str">
        <f t="shared" ca="1" si="5"/>
        <v xml:space="preserve"> </v>
      </c>
      <c r="D92" s="25" t="str">
        <f t="shared" si="28"/>
        <v/>
      </c>
      <c r="E92" s="22" t="str">
        <f t="shared" si="29"/>
        <v/>
      </c>
      <c r="F92" s="22" t="str">
        <f>IF(AND(A91="",A93=""),"",IF(A92="",ROUND(SUM($F$29:F91),2),IF(A92=$D$8,$E$28-ROUND(SUM($F$29:F91),2),ROUND($E$28/$D$8,2))))</f>
        <v/>
      </c>
      <c r="G92" s="22" t="str">
        <f>IF(A91=$D$8,SUM($G$29:G91),IF(A92&gt;$F$8,"",IF(U92&lt;&gt;U91,SUM(W92*$F$24*E91/U92,X92*$F$24*E91/U91),E91*$F$24*D92/U91)))</f>
        <v/>
      </c>
      <c r="H92" s="22" t="str">
        <f>IF(A91=$D$8,SUM($H$29:H91),IF(A91&gt;$D$8,"",F92+G92))</f>
        <v/>
      </c>
      <c r="I92" s="22"/>
      <c r="J92" s="22"/>
      <c r="K92" s="22"/>
      <c r="L92" s="22"/>
      <c r="M92" s="22" t="str">
        <f t="shared" si="33"/>
        <v/>
      </c>
      <c r="N92" s="22"/>
      <c r="O92" s="22"/>
      <c r="P92" s="22"/>
      <c r="Q92" s="68" t="str">
        <f>IF(A91=$D$8,XIRR(H$28:H91,C$28:C91),"")</f>
        <v/>
      </c>
      <c r="R92" s="22" t="str">
        <f t="shared" si="37"/>
        <v/>
      </c>
      <c r="S92" s="22"/>
      <c r="T92" s="15" t="e">
        <f t="shared" ca="1" si="7"/>
        <v>#VALUE!</v>
      </c>
      <c r="U92" s="15" t="e">
        <f t="shared" ca="1" si="8"/>
        <v>#VALUE!</v>
      </c>
      <c r="V92" s="15" t="e">
        <f t="shared" ca="1" si="34"/>
        <v>#VALUE!</v>
      </c>
      <c r="W92" s="16" t="e">
        <f t="shared" ca="1" si="35"/>
        <v>#VALUE!</v>
      </c>
      <c r="X92" s="17" t="e">
        <f t="shared" ca="1" si="36"/>
        <v>#VALUE!</v>
      </c>
      <c r="Y92" s="15"/>
    </row>
    <row r="93" spans="1:25" x14ac:dyDescent="0.35">
      <c r="A93" s="25" t="str">
        <f t="shared" si="12"/>
        <v/>
      </c>
      <c r="B93" s="21">
        <f ca="1">EDATE($B$28,65)</f>
        <v>46204</v>
      </c>
      <c r="C93" s="21" t="str">
        <f t="shared" ca="1" si="5"/>
        <v xml:space="preserve"> </v>
      </c>
      <c r="D93" s="25" t="str">
        <f t="shared" si="28"/>
        <v/>
      </c>
      <c r="E93" s="22" t="str">
        <f t="shared" si="29"/>
        <v/>
      </c>
      <c r="F93" s="22" t="str">
        <f>IF(AND(A92="",A94=""),"",IF(A93="",ROUND(SUM($F$29:F92),2),IF(A93=$D$8,$E$28-ROUND(SUM($F$29:F92),2),ROUND($E$28/$D$8,2))))</f>
        <v/>
      </c>
      <c r="G93" s="22" t="str">
        <f>IF(A92=$D$8,SUM($G$29:G92),IF(A93&gt;$F$8,"",IF(U93&lt;&gt;U92,SUM(W93*$F$24*E92/U93,X93*$F$24*E92/U92),E92*$F$24*D93/U92)))</f>
        <v/>
      </c>
      <c r="H93" s="22" t="str">
        <f>IF(A92=$D$8,SUM($H$29:H92),IF(A92&gt;$D$8,"",F93+G93))</f>
        <v/>
      </c>
      <c r="I93" s="22"/>
      <c r="J93" s="22"/>
      <c r="K93" s="22"/>
      <c r="L93" s="22"/>
      <c r="M93" s="22" t="str">
        <f t="shared" si="33"/>
        <v/>
      </c>
      <c r="N93" s="22"/>
      <c r="O93" s="22"/>
      <c r="P93" s="22"/>
      <c r="Q93" s="68" t="str">
        <f>IF(A92=$D$8,XIRR(H$28:H92,C$28:C92),"")</f>
        <v/>
      </c>
      <c r="R93" s="22" t="str">
        <f t="shared" si="37"/>
        <v/>
      </c>
      <c r="S93" s="22"/>
      <c r="T93" s="15" t="e">
        <f t="shared" ca="1" si="7"/>
        <v>#VALUE!</v>
      </c>
      <c r="U93" s="15" t="e">
        <f t="shared" ca="1" si="8"/>
        <v>#VALUE!</v>
      </c>
      <c r="V93" s="15" t="e">
        <f t="shared" ca="1" si="34"/>
        <v>#VALUE!</v>
      </c>
      <c r="W93" s="16" t="e">
        <f t="shared" ca="1" si="35"/>
        <v>#VALUE!</v>
      </c>
      <c r="X93" s="17" t="e">
        <f t="shared" ca="1" si="36"/>
        <v>#VALUE!</v>
      </c>
      <c r="Y93" s="15"/>
    </row>
    <row r="94" spans="1:25" x14ac:dyDescent="0.35">
      <c r="A94" s="25" t="str">
        <f t="shared" si="12"/>
        <v/>
      </c>
      <c r="B94" s="21">
        <f ca="1">EDATE($B$28,66)</f>
        <v>46235</v>
      </c>
      <c r="C94" s="21" t="str">
        <f t="shared" ref="C94:C111" ca="1" si="38">IF(B94=$D$19,B94-1,(IF(B94&gt;$D$19," ",B94)))</f>
        <v xml:space="preserve"> </v>
      </c>
      <c r="D94" s="25" t="str">
        <f t="shared" si="28"/>
        <v/>
      </c>
      <c r="E94" s="22" t="str">
        <f t="shared" si="29"/>
        <v/>
      </c>
      <c r="F94" s="22" t="str">
        <f>IF(AND(A93="",A95=""),"",IF(A94="",ROUND(SUM($F$29:F93),2),IF(A94=$D$8,$E$28-ROUND(SUM($F$29:F93),2),ROUND($E$28/$D$8,2))))</f>
        <v/>
      </c>
      <c r="G94" s="22" t="str">
        <f>IF(A93=$D$8,SUM($G$29:G93),IF(A94&gt;$F$8,"",IF(U94&lt;&gt;U93,SUM(W94*$F$24*E93/U94,X94*$F$24*E93/U93),E93*$F$24*D94/U93)))</f>
        <v/>
      </c>
      <c r="H94" s="22" t="str">
        <f>IF(A93=$D$8,SUM($H$29:H93),IF(A93&gt;$D$8,"",F94+G94))</f>
        <v/>
      </c>
      <c r="I94" s="22"/>
      <c r="J94" s="22"/>
      <c r="K94" s="22"/>
      <c r="L94" s="22"/>
      <c r="M94" s="22" t="str">
        <f t="shared" si="33"/>
        <v/>
      </c>
      <c r="N94" s="22"/>
      <c r="O94" s="22"/>
      <c r="P94" s="22"/>
      <c r="Q94" s="68" t="str">
        <f>IF(A93=$D$8,XIRR(H$28:H93,C$28:C93),"")</f>
        <v/>
      </c>
      <c r="R94" s="22" t="str">
        <f t="shared" ref="R94:R112" si="39">IF(A93=$D$8,G94+M94+F94,"")</f>
        <v/>
      </c>
      <c r="S94" s="22"/>
      <c r="T94" s="15" t="e">
        <f t="shared" ref="T94:T112" ca="1" si="40">IF(C94="","",YEAR(C94))</f>
        <v>#VALUE!</v>
      </c>
      <c r="U94" s="15" t="e">
        <f t="shared" ref="U94:U112" ca="1" si="41">IF(OR(T94=2024,T94=2028,T94=2016,T94=2020),366,365)</f>
        <v>#VALUE!</v>
      </c>
      <c r="V94" s="15" t="e">
        <f t="shared" ca="1" si="34"/>
        <v>#VALUE!</v>
      </c>
      <c r="W94" s="16" t="e">
        <f t="shared" ca="1" si="35"/>
        <v>#VALUE!</v>
      </c>
      <c r="X94" s="17" t="e">
        <f t="shared" ca="1" si="36"/>
        <v>#VALUE!</v>
      </c>
      <c r="Y94" s="15"/>
    </row>
    <row r="95" spans="1:25" x14ac:dyDescent="0.35">
      <c r="A95" s="25" t="str">
        <f t="shared" ref="A95:A113" si="42">IF(A94&lt;$D$8,A94+1,"")</f>
        <v/>
      </c>
      <c r="B95" s="21">
        <f ca="1">EDATE($B$28,67)</f>
        <v>46266</v>
      </c>
      <c r="C95" s="21" t="str">
        <f t="shared" ca="1" si="38"/>
        <v xml:space="preserve"> </v>
      </c>
      <c r="D95" s="25" t="str">
        <f t="shared" si="28"/>
        <v/>
      </c>
      <c r="E95" s="22" t="str">
        <f t="shared" si="29"/>
        <v/>
      </c>
      <c r="F95" s="22" t="str">
        <f>IF(AND(A94="",A96=""),"",IF(A95="",ROUND(SUM($F$29:F94),2),IF(A95=$D$8,$E$28-ROUND(SUM($F$29:F94),2),ROUND($E$28/$D$8,2))))</f>
        <v/>
      </c>
      <c r="G95" s="22" t="str">
        <f>IF(A94=$D$8,SUM($G$29:G94),IF(A95&gt;$F$8,"",IF(U95&lt;&gt;U94,SUM(W95*$F$24*E94/U95,X95*$F$24*E94/U94),E94*$F$24*D95/U94)))</f>
        <v/>
      </c>
      <c r="H95" s="22" t="str">
        <f>IF(A94=$D$8,SUM($H$29:H94),IF(A94&gt;$D$8,"",F95+G95))</f>
        <v/>
      </c>
      <c r="I95" s="22"/>
      <c r="J95" s="22"/>
      <c r="K95" s="22"/>
      <c r="L95" s="22"/>
      <c r="M95" s="22" t="str">
        <f t="shared" si="33"/>
        <v/>
      </c>
      <c r="N95" s="22"/>
      <c r="O95" s="22"/>
      <c r="P95" s="22"/>
      <c r="Q95" s="68" t="str">
        <f>IF(A94=$D$8,XIRR(H$28:H94,C$28:C94),"")</f>
        <v/>
      </c>
      <c r="R95" s="22" t="str">
        <f t="shared" si="39"/>
        <v/>
      </c>
      <c r="S95" s="22"/>
      <c r="T95" s="15" t="e">
        <f t="shared" ca="1" si="40"/>
        <v>#VALUE!</v>
      </c>
      <c r="U95" s="15" t="e">
        <f t="shared" ca="1" si="41"/>
        <v>#VALUE!</v>
      </c>
      <c r="V95" s="15" t="e">
        <f t="shared" ca="1" si="34"/>
        <v>#VALUE!</v>
      </c>
      <c r="W95" s="16" t="e">
        <f t="shared" ca="1" si="35"/>
        <v>#VALUE!</v>
      </c>
      <c r="X95" s="17" t="e">
        <f t="shared" ca="1" si="36"/>
        <v>#VALUE!</v>
      </c>
      <c r="Y95" s="15"/>
    </row>
    <row r="96" spans="1:25" x14ac:dyDescent="0.35">
      <c r="A96" s="25" t="str">
        <f t="shared" si="42"/>
        <v/>
      </c>
      <c r="B96" s="21">
        <f ca="1">EDATE($B$28,68)</f>
        <v>46296</v>
      </c>
      <c r="C96" s="21" t="str">
        <f t="shared" ca="1" si="38"/>
        <v xml:space="preserve"> </v>
      </c>
      <c r="D96" s="25" t="str">
        <f t="shared" si="28"/>
        <v/>
      </c>
      <c r="E96" s="22" t="str">
        <f t="shared" si="29"/>
        <v/>
      </c>
      <c r="F96" s="22" t="str">
        <f>IF(AND(A95="",A97=""),"",IF(A96="",ROUND(SUM($F$29:F95),2),IF(A96=$D$8,$E$28-ROUND(SUM($F$29:F95),2),ROUND($E$28/$D$8,2))))</f>
        <v/>
      </c>
      <c r="G96" s="22" t="str">
        <f>IF(A95=$D$8,SUM($G$29:G95),IF(A96&gt;$F$8,"",IF(U96&lt;&gt;U95,SUM(W96*$F$24*E95/U96,X96*$F$24*E95/U95),E95*$F$24*D96/U95)))</f>
        <v/>
      </c>
      <c r="H96" s="22" t="str">
        <f>IF(A95=$D$8,SUM($H$29:H95),IF(A95&gt;$D$8,"",F96+G96))</f>
        <v/>
      </c>
      <c r="I96" s="22"/>
      <c r="J96" s="22"/>
      <c r="K96" s="22"/>
      <c r="L96" s="22"/>
      <c r="M96" s="22" t="str">
        <f t="shared" si="33"/>
        <v/>
      </c>
      <c r="N96" s="22"/>
      <c r="O96" s="22"/>
      <c r="P96" s="22"/>
      <c r="Q96" s="68" t="str">
        <f>IF(A95=$D$8,XIRR(H$28:H95,C$28:C95),"")</f>
        <v/>
      </c>
      <c r="R96" s="22" t="str">
        <f t="shared" si="39"/>
        <v/>
      </c>
      <c r="S96" s="22"/>
      <c r="T96" s="15" t="e">
        <f t="shared" ca="1" si="40"/>
        <v>#VALUE!</v>
      </c>
      <c r="U96" s="15" t="e">
        <f t="shared" ca="1" si="41"/>
        <v>#VALUE!</v>
      </c>
      <c r="V96" s="15" t="e">
        <f t="shared" ca="1" si="34"/>
        <v>#VALUE!</v>
      </c>
      <c r="W96" s="16" t="e">
        <f t="shared" ca="1" si="35"/>
        <v>#VALUE!</v>
      </c>
      <c r="X96" s="17" t="e">
        <f t="shared" ca="1" si="36"/>
        <v>#VALUE!</v>
      </c>
      <c r="Y96" s="15"/>
    </row>
    <row r="97" spans="1:28" x14ac:dyDescent="0.35">
      <c r="A97" s="25" t="str">
        <f t="shared" si="42"/>
        <v/>
      </c>
      <c r="B97" s="21">
        <f ca="1">EDATE($B$28,69)</f>
        <v>46327</v>
      </c>
      <c r="C97" s="21" t="str">
        <f t="shared" ca="1" si="38"/>
        <v xml:space="preserve"> </v>
      </c>
      <c r="D97" s="25" t="str">
        <f t="shared" si="28"/>
        <v/>
      </c>
      <c r="E97" s="22" t="str">
        <f t="shared" si="29"/>
        <v/>
      </c>
      <c r="F97" s="22" t="str">
        <f>IF(AND(A96="",A98=""),"",IF(A97="",ROUND(SUM($F$29:F96),2),IF(A97=$D$8,$E$28-ROUND(SUM($F$29:F96),2),ROUND($E$28/$D$8,2))))</f>
        <v/>
      </c>
      <c r="G97" s="22" t="str">
        <f>IF(A96=$D$8,SUM($G$29:G96),IF(A97&gt;$F$8,"",IF(U97&lt;&gt;U96,SUM(W97*$F$24*E96/U97,X97*$F$24*E96/U96),E96*$F$24*D97/U96)))</f>
        <v/>
      </c>
      <c r="H97" s="22" t="str">
        <f>IF(A96=$D$8,SUM($H$29:H96),IF(A96&gt;$D$8,"",F97+G97))</f>
        <v/>
      </c>
      <c r="I97" s="22"/>
      <c r="J97" s="22"/>
      <c r="K97" s="22"/>
      <c r="L97" s="22"/>
      <c r="M97" s="22" t="str">
        <f t="shared" si="33"/>
        <v/>
      </c>
      <c r="N97" s="22"/>
      <c r="O97" s="22"/>
      <c r="P97" s="22"/>
      <c r="Q97" s="68" t="str">
        <f>IF(A96=$D$8,XIRR(H$28:H96,C$28:C96),"")</f>
        <v/>
      </c>
      <c r="R97" s="22" t="str">
        <f t="shared" si="39"/>
        <v/>
      </c>
      <c r="S97" s="22"/>
      <c r="T97" s="15" t="e">
        <f t="shared" ca="1" si="40"/>
        <v>#VALUE!</v>
      </c>
      <c r="U97" s="15" t="e">
        <f t="shared" ca="1" si="41"/>
        <v>#VALUE!</v>
      </c>
      <c r="V97" s="15" t="e">
        <f t="shared" ca="1" si="34"/>
        <v>#VALUE!</v>
      </c>
      <c r="W97" s="16" t="e">
        <f t="shared" ca="1" si="35"/>
        <v>#VALUE!</v>
      </c>
      <c r="X97" s="17" t="e">
        <f t="shared" ca="1" si="36"/>
        <v>#VALUE!</v>
      </c>
      <c r="Y97" s="15"/>
    </row>
    <row r="98" spans="1:28" x14ac:dyDescent="0.35">
      <c r="A98" s="25" t="str">
        <f t="shared" si="42"/>
        <v/>
      </c>
      <c r="B98" s="21">
        <f ca="1">EDATE($B$28,70)</f>
        <v>46357</v>
      </c>
      <c r="C98" s="21" t="str">
        <f t="shared" ca="1" si="38"/>
        <v xml:space="preserve"> </v>
      </c>
      <c r="D98" s="25" t="str">
        <f t="shared" si="28"/>
        <v/>
      </c>
      <c r="E98" s="22" t="str">
        <f t="shared" si="29"/>
        <v/>
      </c>
      <c r="F98" s="22" t="str">
        <f>IF(AND(A97="",A99=""),"",IF(A98="",ROUND(SUM($F$29:F97),2),IF(A98=$D$8,$E$28-ROUND(SUM($F$29:F97),2),ROUND($E$28/$D$8,2))))</f>
        <v/>
      </c>
      <c r="G98" s="22" t="str">
        <f>IF(A97=$D$8,SUM($G$29:G97),IF(A98&gt;$F$8,"",IF(U98&lt;&gt;U97,SUM(W98*$F$24*E97/U98,X98*$F$24*E97/U97),E97*$F$24*D98/U97)))</f>
        <v/>
      </c>
      <c r="H98" s="22" t="str">
        <f>IF(A97=$D$8,SUM($H$29:H97),IF(A97&gt;$D$8,"",F98+G98))</f>
        <v/>
      </c>
      <c r="I98" s="22"/>
      <c r="J98" s="22"/>
      <c r="K98" s="22"/>
      <c r="L98" s="22"/>
      <c r="M98" s="22" t="str">
        <f t="shared" si="33"/>
        <v/>
      </c>
      <c r="N98" s="22"/>
      <c r="O98" s="22"/>
      <c r="P98" s="22"/>
      <c r="Q98" s="68" t="str">
        <f>IF(A97=$D$8,XIRR(H$28:H97,C$28:C97),"")</f>
        <v/>
      </c>
      <c r="R98" s="22" t="str">
        <f t="shared" si="39"/>
        <v/>
      </c>
      <c r="S98" s="22"/>
      <c r="T98" s="15" t="e">
        <f t="shared" ca="1" si="40"/>
        <v>#VALUE!</v>
      </c>
      <c r="U98" s="15" t="e">
        <f t="shared" ca="1" si="41"/>
        <v>#VALUE!</v>
      </c>
      <c r="V98" s="15" t="e">
        <f t="shared" ca="1" si="34"/>
        <v>#VALUE!</v>
      </c>
      <c r="W98" s="16" t="e">
        <f t="shared" ca="1" si="35"/>
        <v>#VALUE!</v>
      </c>
      <c r="X98" s="17" t="e">
        <f t="shared" ca="1" si="36"/>
        <v>#VALUE!</v>
      </c>
      <c r="Y98" s="15"/>
    </row>
    <row r="99" spans="1:28" x14ac:dyDescent="0.35">
      <c r="A99" s="25" t="str">
        <f t="shared" si="42"/>
        <v/>
      </c>
      <c r="B99" s="21">
        <f ca="1">EDATE($B$28,71)</f>
        <v>46388</v>
      </c>
      <c r="C99" s="21" t="str">
        <f t="shared" ca="1" si="38"/>
        <v xml:space="preserve"> </v>
      </c>
      <c r="D99" s="25" t="str">
        <f t="shared" si="28"/>
        <v/>
      </c>
      <c r="E99" s="22" t="str">
        <f t="shared" si="29"/>
        <v/>
      </c>
      <c r="F99" s="22" t="str">
        <f>IF(AND(A98="",A100=""),"",IF(A99="",ROUND(SUM($F$29:F98),2),IF(A99=$D$8,$E$28-ROUND(SUM($F$29:F98),2),ROUND($E$28/$D$8,2))))</f>
        <v/>
      </c>
      <c r="G99" s="22" t="str">
        <f>IF(A98=$D$8,SUM($G$29:G98),IF(A99&gt;$F$8,"",IF(U99&lt;&gt;U98,SUM(W99*$F$24*E98/U99,X99*$F$24*E98/U98),E98*$F$24*D99/U98)))</f>
        <v/>
      </c>
      <c r="H99" s="22" t="str">
        <f>IF(A98=$D$8,SUM($H$29:H98),IF(A98&gt;$D$8,"",F99+G99))</f>
        <v/>
      </c>
      <c r="I99" s="22"/>
      <c r="J99" s="22"/>
      <c r="K99" s="22"/>
      <c r="L99" s="22"/>
      <c r="M99" s="22" t="str">
        <f t="shared" si="33"/>
        <v/>
      </c>
      <c r="N99" s="22"/>
      <c r="O99" s="22"/>
      <c r="P99" s="22"/>
      <c r="Q99" s="68" t="str">
        <f>IF(A98=$D$8,XIRR(H$28:H98,C$28:C98),"")</f>
        <v/>
      </c>
      <c r="R99" s="22" t="str">
        <f t="shared" si="39"/>
        <v/>
      </c>
      <c r="S99" s="22"/>
      <c r="T99" s="15" t="e">
        <f t="shared" ca="1" si="40"/>
        <v>#VALUE!</v>
      </c>
      <c r="U99" s="15" t="e">
        <f t="shared" ca="1" si="41"/>
        <v>#VALUE!</v>
      </c>
      <c r="V99" s="15" t="e">
        <f t="shared" ca="1" si="34"/>
        <v>#VALUE!</v>
      </c>
      <c r="W99" s="16" t="e">
        <f t="shared" ca="1" si="35"/>
        <v>#VALUE!</v>
      </c>
      <c r="X99" s="17" t="e">
        <f t="shared" ca="1" si="36"/>
        <v>#VALUE!</v>
      </c>
      <c r="Y99" s="15"/>
    </row>
    <row r="100" spans="1:28" x14ac:dyDescent="0.35">
      <c r="A100" s="25" t="str">
        <f t="shared" si="42"/>
        <v/>
      </c>
      <c r="B100" s="21">
        <f ca="1">EDATE($B$28,72)</f>
        <v>46419</v>
      </c>
      <c r="C100" s="21" t="str">
        <f t="shared" ca="1" si="38"/>
        <v xml:space="preserve"> </v>
      </c>
      <c r="D100" s="25" t="str">
        <f t="shared" si="28"/>
        <v/>
      </c>
      <c r="E100" s="22" t="str">
        <f t="shared" si="29"/>
        <v/>
      </c>
      <c r="F100" s="22" t="str">
        <f>IF(AND(A99="",A101=""),"",IF(A100="",ROUND(SUM($F$29:F99),2),IF(A100=$D$8,$E$28-ROUND(SUM($F$29:F99),2),ROUND($E$28/$D$8,2))))</f>
        <v/>
      </c>
      <c r="G100" s="22" t="str">
        <f>IF(A99=$D$8,SUM($G$29:G99),IF(A100&gt;$F$8,"",IF(U100&lt;&gt;U99,SUM(W100*$F$24*E99/U100,X100*$F$24*E99/U99),E99*$F$24*D100/U99)))</f>
        <v/>
      </c>
      <c r="H100" s="22" t="str">
        <f>IF(A99=$D$8,SUM($H$29:H99),IF(A99&gt;$D$8,"",F100+G100))</f>
        <v/>
      </c>
      <c r="I100" s="22"/>
      <c r="J100" s="22"/>
      <c r="K100" s="22"/>
      <c r="L100" s="22"/>
      <c r="M100" s="22" t="str">
        <f t="shared" si="33"/>
        <v/>
      </c>
      <c r="N100" s="22"/>
      <c r="O100" s="22"/>
      <c r="P100" s="22"/>
      <c r="Q100" s="68" t="str">
        <f>IF(A99=$D$8,XIRR(H$28:H99,C$28:C99),"")</f>
        <v/>
      </c>
      <c r="R100" s="22" t="str">
        <f t="shared" si="39"/>
        <v/>
      </c>
      <c r="S100" s="22"/>
      <c r="T100" s="15" t="e">
        <f t="shared" ca="1" si="40"/>
        <v>#VALUE!</v>
      </c>
      <c r="U100" s="15" t="e">
        <f t="shared" ca="1" si="41"/>
        <v>#VALUE!</v>
      </c>
      <c r="V100" s="15" t="e">
        <f t="shared" ca="1" si="34"/>
        <v>#VALUE!</v>
      </c>
      <c r="W100" s="16" t="e">
        <f t="shared" ca="1" si="35"/>
        <v>#VALUE!</v>
      </c>
      <c r="X100" s="17" t="e">
        <f t="shared" ca="1" si="36"/>
        <v>#VALUE!</v>
      </c>
      <c r="Y100" s="15"/>
    </row>
    <row r="101" spans="1:28" x14ac:dyDescent="0.35">
      <c r="A101" s="25" t="str">
        <f t="shared" si="42"/>
        <v/>
      </c>
      <c r="B101" s="21">
        <f ca="1">EDATE($B$28,73)</f>
        <v>46447</v>
      </c>
      <c r="C101" s="21" t="str">
        <f t="shared" ca="1" si="38"/>
        <v xml:space="preserve"> </v>
      </c>
      <c r="D101" s="25" t="str">
        <f t="shared" si="28"/>
        <v/>
      </c>
      <c r="E101" s="22" t="str">
        <f t="shared" si="29"/>
        <v/>
      </c>
      <c r="F101" s="22" t="str">
        <f>IF(AND(A100="",A102=""),"",IF(A101="",ROUND(SUM($F$29:F100),2),IF(A101=$D$8,$E$28-ROUND(SUM($F$29:F100),2),ROUND($E$28/$D$8,2))))</f>
        <v/>
      </c>
      <c r="G101" s="22" t="str">
        <f>IF(A100=$D$8,SUM($G$29:G100),IF(A101&gt;$F$8,"",IF(U101&lt;&gt;U100,SUM(W101*$F$24*E100/U101,X101*$F$24*E100/U100),E100*$F$24*D101/U100)))</f>
        <v/>
      </c>
      <c r="H101" s="22" t="str">
        <f>IF(A100=$D$8,SUM($H$29:H100),IF(A100&gt;$D$8,"",F101+G101))</f>
        <v/>
      </c>
      <c r="I101" s="22"/>
      <c r="J101" s="22"/>
      <c r="K101" s="22"/>
      <c r="L101" s="22"/>
      <c r="M101" s="22" t="str">
        <f t="shared" si="33"/>
        <v/>
      </c>
      <c r="N101" s="22"/>
      <c r="O101" s="22"/>
      <c r="P101" s="22"/>
      <c r="Q101" s="68" t="str">
        <f>IF(A100=$D$8,XIRR(H$28:H100,C$28:C100),"")</f>
        <v/>
      </c>
      <c r="R101" s="22" t="str">
        <f t="shared" si="39"/>
        <v/>
      </c>
      <c r="S101" s="22"/>
      <c r="T101" s="15" t="e">
        <f t="shared" ca="1" si="40"/>
        <v>#VALUE!</v>
      </c>
      <c r="U101" s="15" t="e">
        <f t="shared" ca="1" si="41"/>
        <v>#VALUE!</v>
      </c>
      <c r="V101" s="15" t="e">
        <f t="shared" ca="1" si="34"/>
        <v>#VALUE!</v>
      </c>
      <c r="W101" s="16" t="e">
        <f t="shared" ca="1" si="35"/>
        <v>#VALUE!</v>
      </c>
      <c r="X101" s="17" t="e">
        <f t="shared" ca="1" si="36"/>
        <v>#VALUE!</v>
      </c>
      <c r="Y101" s="15"/>
    </row>
    <row r="102" spans="1:28" x14ac:dyDescent="0.35">
      <c r="A102" s="25" t="str">
        <f t="shared" si="42"/>
        <v/>
      </c>
      <c r="B102" s="21">
        <f ca="1">EDATE($B$28,74)</f>
        <v>46478</v>
      </c>
      <c r="C102" s="21" t="str">
        <f t="shared" ca="1" si="38"/>
        <v xml:space="preserve"> </v>
      </c>
      <c r="D102" s="25" t="str">
        <f t="shared" si="28"/>
        <v/>
      </c>
      <c r="E102" s="22" t="str">
        <f t="shared" si="29"/>
        <v/>
      </c>
      <c r="F102" s="22" t="str">
        <f>IF(AND(A101="",A103=""),"",IF(A102="",ROUND(SUM($F$29:F101),2),IF(A102=$D$8,$E$28-ROUND(SUM($F$29:F101),2),ROUND($E$28/$D$8,2))))</f>
        <v/>
      </c>
      <c r="G102" s="22" t="str">
        <f>IF(A101=$D$8,SUM($G$29:G101),IF(A102&gt;$F$8,"",IF(U102&lt;&gt;U101,SUM(W102*$F$24*E101/U102,X102*$F$24*E101/U101),E101*$F$24*D102/U101)))</f>
        <v/>
      </c>
      <c r="H102" s="22" t="str">
        <f>IF(A101=$D$8,SUM($H$29:H101),IF(A101&gt;$D$8,"",F102+G102))</f>
        <v/>
      </c>
      <c r="I102" s="22"/>
      <c r="J102" s="22"/>
      <c r="K102" s="22"/>
      <c r="L102" s="22"/>
      <c r="M102" s="22" t="str">
        <f t="shared" si="33"/>
        <v/>
      </c>
      <c r="N102" s="22"/>
      <c r="O102" s="22"/>
      <c r="P102" s="22"/>
      <c r="Q102" s="68" t="str">
        <f>IF(A101=$D$8,XIRR(H$28:H101,C$28:C101),"")</f>
        <v/>
      </c>
      <c r="R102" s="22" t="str">
        <f t="shared" si="39"/>
        <v/>
      </c>
      <c r="S102" s="22"/>
      <c r="T102" s="15" t="e">
        <f t="shared" ca="1" si="40"/>
        <v>#VALUE!</v>
      </c>
      <c r="U102" s="15" t="e">
        <f t="shared" ca="1" si="41"/>
        <v>#VALUE!</v>
      </c>
      <c r="V102" s="15" t="e">
        <f t="shared" ca="1" si="34"/>
        <v>#VALUE!</v>
      </c>
      <c r="W102" s="16" t="e">
        <f t="shared" ca="1" si="35"/>
        <v>#VALUE!</v>
      </c>
      <c r="X102" s="17" t="e">
        <f t="shared" ca="1" si="36"/>
        <v>#VALUE!</v>
      </c>
      <c r="Y102" s="15"/>
    </row>
    <row r="103" spans="1:28" x14ac:dyDescent="0.35">
      <c r="A103" s="25" t="str">
        <f t="shared" si="42"/>
        <v/>
      </c>
      <c r="B103" s="21">
        <f ca="1">EDATE($B$28,75)</f>
        <v>46508</v>
      </c>
      <c r="C103" s="21" t="str">
        <f t="shared" ca="1" si="38"/>
        <v xml:space="preserve"> </v>
      </c>
      <c r="D103" s="25" t="str">
        <f t="shared" si="28"/>
        <v/>
      </c>
      <c r="E103" s="22" t="str">
        <f t="shared" si="29"/>
        <v/>
      </c>
      <c r="F103" s="22" t="str">
        <f>IF(AND(A102="",A104=""),"",IF(A103="",ROUND(SUM($F$29:F102),2),IF(A103=$D$8,$E$28-ROUND(SUM($F$29:F102),2),ROUND($E$28/$D$8,2))))</f>
        <v/>
      </c>
      <c r="G103" s="22" t="str">
        <f>IF(A102=$D$8,SUM($G$29:G102),IF(A103&gt;$F$8,"",IF(U103&lt;&gt;U102,SUM(W103*$F$24*E102/U103,X103*$F$24*E102/U102),E102*$F$24*D103/U102)))</f>
        <v/>
      </c>
      <c r="H103" s="22" t="str">
        <f>IF(A102=$D$8,SUM($H$29:H102),IF(A102&gt;$D$8,"",F103+G103))</f>
        <v/>
      </c>
      <c r="I103" s="22"/>
      <c r="J103" s="22"/>
      <c r="K103" s="22"/>
      <c r="L103" s="22"/>
      <c r="M103" s="22" t="str">
        <f t="shared" si="33"/>
        <v/>
      </c>
      <c r="N103" s="22"/>
      <c r="O103" s="22"/>
      <c r="P103" s="22"/>
      <c r="Q103" s="68" t="str">
        <f>IF(A102=$D$8,XIRR(H$28:H102,C$28:C102),"")</f>
        <v/>
      </c>
      <c r="R103" s="22" t="str">
        <f t="shared" si="39"/>
        <v/>
      </c>
      <c r="S103" s="22"/>
      <c r="T103" s="15" t="e">
        <f t="shared" ca="1" si="40"/>
        <v>#VALUE!</v>
      </c>
      <c r="U103" s="15" t="e">
        <f t="shared" ca="1" si="41"/>
        <v>#VALUE!</v>
      </c>
      <c r="V103" s="15" t="e">
        <f t="shared" ca="1" si="34"/>
        <v>#VALUE!</v>
      </c>
      <c r="W103" s="16" t="e">
        <f t="shared" ca="1" si="35"/>
        <v>#VALUE!</v>
      </c>
      <c r="X103" s="17" t="e">
        <f t="shared" ca="1" si="36"/>
        <v>#VALUE!</v>
      </c>
      <c r="Y103" s="15"/>
    </row>
    <row r="104" spans="1:28" x14ac:dyDescent="0.35">
      <c r="A104" s="25" t="str">
        <f t="shared" si="42"/>
        <v/>
      </c>
      <c r="B104" s="21">
        <f ca="1">EDATE($B$28,76)</f>
        <v>46539</v>
      </c>
      <c r="C104" s="21" t="str">
        <f t="shared" ca="1" si="38"/>
        <v xml:space="preserve"> </v>
      </c>
      <c r="D104" s="25" t="str">
        <f t="shared" si="28"/>
        <v/>
      </c>
      <c r="E104" s="22" t="str">
        <f t="shared" si="29"/>
        <v/>
      </c>
      <c r="F104" s="22" t="str">
        <f>IF(AND(A103="",A105=""),"",IF(A104="",ROUND(SUM($F$29:F103),2),IF(A104=$D$8,$E$28-ROUND(SUM($F$29:F103),2),ROUND($E$28/$D$8,2))))</f>
        <v/>
      </c>
      <c r="G104" s="22" t="str">
        <f>IF(A103=$D$8,SUM($G$29:G103),IF(A104&gt;$F$8,"",IF(U104&lt;&gt;U103,SUM(W104*$F$24*E103/U104,X104*$F$24*E103/U103),E103*$F$24*D104/U103)))</f>
        <v/>
      </c>
      <c r="H104" s="22" t="str">
        <f>IF(A103=$D$8,SUM($H$29:H103),IF(A103&gt;$D$8,"",F104+G104))</f>
        <v/>
      </c>
      <c r="I104" s="22"/>
      <c r="J104" s="22"/>
      <c r="K104" s="22"/>
      <c r="L104" s="22"/>
      <c r="M104" s="22" t="str">
        <f t="shared" si="33"/>
        <v/>
      </c>
      <c r="N104" s="22"/>
      <c r="O104" s="22"/>
      <c r="P104" s="22"/>
      <c r="Q104" s="68" t="str">
        <f>IF(A103=$D$8,XIRR(H$28:H103,C$28:C103),"")</f>
        <v/>
      </c>
      <c r="R104" s="22" t="str">
        <f t="shared" si="39"/>
        <v/>
      </c>
      <c r="S104" s="22"/>
      <c r="T104" s="15" t="e">
        <f t="shared" ca="1" si="40"/>
        <v>#VALUE!</v>
      </c>
      <c r="U104" s="15" t="e">
        <f t="shared" ca="1" si="41"/>
        <v>#VALUE!</v>
      </c>
      <c r="V104" s="15" t="e">
        <f t="shared" ca="1" si="34"/>
        <v>#VALUE!</v>
      </c>
      <c r="W104" s="16" t="e">
        <f t="shared" ca="1" si="35"/>
        <v>#VALUE!</v>
      </c>
      <c r="X104" s="17" t="e">
        <f t="shared" ca="1" si="36"/>
        <v>#VALUE!</v>
      </c>
      <c r="Y104" s="15"/>
    </row>
    <row r="105" spans="1:28" x14ac:dyDescent="0.35">
      <c r="A105" s="25" t="str">
        <f t="shared" si="42"/>
        <v/>
      </c>
      <c r="B105" s="21">
        <f ca="1">EDATE($B$28,77)</f>
        <v>46569</v>
      </c>
      <c r="C105" s="21" t="str">
        <f t="shared" ca="1" si="38"/>
        <v xml:space="preserve"> </v>
      </c>
      <c r="D105" s="25" t="str">
        <f t="shared" si="28"/>
        <v/>
      </c>
      <c r="E105" s="22" t="str">
        <f t="shared" si="29"/>
        <v/>
      </c>
      <c r="F105" s="22" t="str">
        <f>IF(AND(A104="",A106=""),"",IF(A105="",ROUND(SUM($F$29:F104),2),IF(A105=$D$8,$E$28-ROUND(SUM($F$29:F104),2),ROUND($E$28/$D$8,2))))</f>
        <v/>
      </c>
      <c r="G105" s="22" t="str">
        <f>IF(A104=$D$8,SUM($G$29:G104),IF(A105&gt;$F$8,"",IF(U105&lt;&gt;U104,SUM(W105*$F$24*E104/U105,X105*$F$24*E104/U104),E104*$F$24*D105/U104)))</f>
        <v/>
      </c>
      <c r="H105" s="22" t="str">
        <f>IF(A104=$D$8,SUM($H$29:H104),IF(A104&gt;$D$8,"",F105+G105))</f>
        <v/>
      </c>
      <c r="I105" s="22"/>
      <c r="J105" s="22"/>
      <c r="K105" s="22"/>
      <c r="L105" s="22"/>
      <c r="M105" s="22" t="str">
        <f t="shared" si="33"/>
        <v/>
      </c>
      <c r="N105" s="22"/>
      <c r="O105" s="22"/>
      <c r="P105" s="22"/>
      <c r="Q105" s="68" t="str">
        <f>IF(A104=$D$8,XIRR(H$28:H104,C$28:C104),"")</f>
        <v/>
      </c>
      <c r="R105" s="22" t="str">
        <f t="shared" si="39"/>
        <v/>
      </c>
      <c r="S105" s="22"/>
      <c r="T105" s="15" t="e">
        <f t="shared" ca="1" si="40"/>
        <v>#VALUE!</v>
      </c>
      <c r="U105" s="15" t="e">
        <f t="shared" ca="1" si="41"/>
        <v>#VALUE!</v>
      </c>
      <c r="V105" s="15" t="e">
        <f t="shared" ca="1" si="34"/>
        <v>#VALUE!</v>
      </c>
      <c r="W105" s="16" t="e">
        <f t="shared" ca="1" si="35"/>
        <v>#VALUE!</v>
      </c>
      <c r="X105" s="17" t="e">
        <f t="shared" ca="1" si="36"/>
        <v>#VALUE!</v>
      </c>
      <c r="Y105" s="15"/>
    </row>
    <row r="106" spans="1:28" x14ac:dyDescent="0.35">
      <c r="A106" s="25" t="str">
        <f t="shared" si="42"/>
        <v/>
      </c>
      <c r="B106" s="21">
        <f ca="1">EDATE($B$28,78)</f>
        <v>46600</v>
      </c>
      <c r="C106" s="21" t="str">
        <f t="shared" ca="1" si="38"/>
        <v xml:space="preserve"> </v>
      </c>
      <c r="D106" s="25" t="str">
        <f t="shared" ref="D106:D112" si="43">IF(A106&gt;$D$8,"",C106-C105)</f>
        <v/>
      </c>
      <c r="E106" s="22" t="str">
        <f t="shared" ref="E106:E112" si="44">IF(A106&gt;$D$8,"",E105-F106)</f>
        <v/>
      </c>
      <c r="F106" s="22" t="str">
        <f>IF(AND(A105="",A107=""),"",IF(A106="",ROUND(SUM($F$29:F105),2),IF(A106=$D$8,$E$28-ROUND(SUM($F$29:F105),2),ROUND($E$28/$D$8,2))))</f>
        <v/>
      </c>
      <c r="G106" s="22" t="str">
        <f>IF(A105=$D$8,SUM($G$29:G105),IF(A106&gt;$F$8,"",IF(U106&lt;&gt;U105,SUM(W106*$F$24*E105/U106,X106*$F$24*E105/U105),E105*$F$24*D106/U105)))</f>
        <v/>
      </c>
      <c r="H106" s="22" t="str">
        <f>IF(A105=$D$8,SUM($H$29:H105),IF(A105&gt;$D$8,"",F106+G106))</f>
        <v/>
      </c>
      <c r="I106" s="22"/>
      <c r="J106" s="22"/>
      <c r="K106" s="22"/>
      <c r="L106" s="22"/>
      <c r="M106" s="22" t="str">
        <f t="shared" si="33"/>
        <v/>
      </c>
      <c r="N106" s="22"/>
      <c r="O106" s="22"/>
      <c r="P106" s="22"/>
      <c r="Q106" s="68" t="str">
        <f>IF(A105=$D$8,XIRR(H$28:H105,C$28:C105),"")</f>
        <v/>
      </c>
      <c r="R106" s="22" t="str">
        <f t="shared" si="39"/>
        <v/>
      </c>
      <c r="S106" s="22"/>
      <c r="T106" s="15" t="e">
        <f t="shared" ca="1" si="40"/>
        <v>#VALUE!</v>
      </c>
      <c r="U106" s="15" t="e">
        <f t="shared" ca="1" si="41"/>
        <v>#VALUE!</v>
      </c>
      <c r="V106" s="15" t="e">
        <f t="shared" ca="1" si="34"/>
        <v>#VALUE!</v>
      </c>
      <c r="W106" s="16" t="e">
        <f t="shared" ca="1" si="35"/>
        <v>#VALUE!</v>
      </c>
      <c r="X106" s="17" t="e">
        <f t="shared" ca="1" si="36"/>
        <v>#VALUE!</v>
      </c>
      <c r="Y106" s="15"/>
    </row>
    <row r="107" spans="1:28" x14ac:dyDescent="0.35">
      <c r="A107" s="25" t="str">
        <f t="shared" si="42"/>
        <v/>
      </c>
      <c r="B107" s="21">
        <f ca="1">EDATE($B$28,79)</f>
        <v>46631</v>
      </c>
      <c r="C107" s="21" t="str">
        <f t="shared" ca="1" si="38"/>
        <v xml:space="preserve"> </v>
      </c>
      <c r="D107" s="25" t="str">
        <f t="shared" si="43"/>
        <v/>
      </c>
      <c r="E107" s="22" t="str">
        <f t="shared" si="44"/>
        <v/>
      </c>
      <c r="F107" s="22" t="str">
        <f>IF(AND(A106="",A108=""),"",IF(A107="",ROUND(SUM($F$29:F106),2),IF(A107=$D$8,$E$28-ROUND(SUM($F$29:F106),2),ROUND($E$28/$D$8,2))))</f>
        <v/>
      </c>
      <c r="G107" s="22" t="str">
        <f>IF(A106=$D$8,SUM($G$29:G106),IF(A107&gt;$F$8,"",IF(U107&lt;&gt;U106,SUM(W107*$F$24*E106/U107,X107*$F$24*E106/U106),E106*$F$24*D107/U106)))</f>
        <v/>
      </c>
      <c r="H107" s="22" t="str">
        <f>IF(A106=$D$8,SUM($H$29:H106),IF(A106&gt;$D$8,"",F107+G107))</f>
        <v/>
      </c>
      <c r="I107" s="22"/>
      <c r="J107" s="22"/>
      <c r="K107" s="22"/>
      <c r="L107" s="22"/>
      <c r="M107" s="22" t="str">
        <f t="shared" ref="M107:M113" si="45">IF(A106=$D$8,$M$28,"")</f>
        <v/>
      </c>
      <c r="N107" s="22"/>
      <c r="O107" s="22"/>
      <c r="P107" s="22"/>
      <c r="Q107" s="68" t="str">
        <f>IF(A106=$D$8,XIRR(H$28:H106,C$28:C106),"")</f>
        <v/>
      </c>
      <c r="R107" s="22" t="str">
        <f t="shared" si="39"/>
        <v/>
      </c>
      <c r="S107" s="22"/>
      <c r="T107" s="15" t="e">
        <f t="shared" ca="1" si="40"/>
        <v>#VALUE!</v>
      </c>
      <c r="U107" s="15" t="e">
        <f t="shared" ca="1" si="41"/>
        <v>#VALUE!</v>
      </c>
      <c r="V107" s="15" t="e">
        <f t="shared" ca="1" si="34"/>
        <v>#VALUE!</v>
      </c>
      <c r="W107" s="16" t="e">
        <f t="shared" ca="1" si="35"/>
        <v>#VALUE!</v>
      </c>
      <c r="X107" s="17" t="e">
        <f t="shared" ca="1" si="36"/>
        <v>#VALUE!</v>
      </c>
      <c r="Y107" s="15"/>
    </row>
    <row r="108" spans="1:28" x14ac:dyDescent="0.35">
      <c r="A108" s="25" t="str">
        <f t="shared" si="42"/>
        <v/>
      </c>
      <c r="B108" s="21">
        <f ca="1">EDATE($B$28,80)</f>
        <v>46661</v>
      </c>
      <c r="C108" s="21" t="str">
        <f t="shared" ca="1" si="38"/>
        <v xml:space="preserve"> </v>
      </c>
      <c r="D108" s="25" t="str">
        <f t="shared" si="43"/>
        <v/>
      </c>
      <c r="E108" s="22" t="str">
        <f t="shared" si="44"/>
        <v/>
      </c>
      <c r="F108" s="22" t="str">
        <f>IF(AND(A107="",A109=""),"",IF(A108="",ROUND(SUM($F$29:F107),2),IF(A108=$D$8,$E$28-ROUND(SUM($F$29:F107),2),ROUND($E$28/$D$8,2))))</f>
        <v/>
      </c>
      <c r="G108" s="22" t="str">
        <f>IF(A107=$D$8,SUM($G$29:G107),IF(A108&gt;$F$8,"",IF(U108&lt;&gt;U107,SUM(W108*$F$24*E107/U108,X108*$F$24*E107/U107),E107*$F$24*D108/U107)))</f>
        <v/>
      </c>
      <c r="H108" s="22" t="str">
        <f>IF(A107=$D$8,SUM($H$29:H107),IF(A107&gt;$D$8,"",F108+G108))</f>
        <v/>
      </c>
      <c r="I108" s="22"/>
      <c r="J108" s="22"/>
      <c r="K108" s="22"/>
      <c r="L108" s="22"/>
      <c r="M108" s="22" t="str">
        <f t="shared" si="45"/>
        <v/>
      </c>
      <c r="N108" s="22"/>
      <c r="O108" s="22"/>
      <c r="P108" s="22"/>
      <c r="Q108" s="68" t="str">
        <f>IF(A107=$D$8,XIRR(H$28:H107,C$28:C107),"")</f>
        <v/>
      </c>
      <c r="R108" s="22" t="str">
        <f t="shared" si="39"/>
        <v/>
      </c>
      <c r="S108" s="22"/>
      <c r="T108" s="15" t="e">
        <f t="shared" ca="1" si="40"/>
        <v>#VALUE!</v>
      </c>
      <c r="U108" s="15" t="e">
        <f t="shared" ca="1" si="41"/>
        <v>#VALUE!</v>
      </c>
      <c r="V108" s="15" t="e">
        <f t="shared" ca="1" si="34"/>
        <v>#VALUE!</v>
      </c>
      <c r="W108" s="16" t="e">
        <f t="shared" ca="1" si="35"/>
        <v>#VALUE!</v>
      </c>
      <c r="X108" s="17" t="e">
        <f t="shared" ca="1" si="36"/>
        <v>#VALUE!</v>
      </c>
      <c r="Y108" s="15"/>
    </row>
    <row r="109" spans="1:28" x14ac:dyDescent="0.35">
      <c r="A109" s="25" t="str">
        <f t="shared" si="42"/>
        <v/>
      </c>
      <c r="B109" s="21">
        <f ca="1">EDATE($B$28,81)</f>
        <v>46692</v>
      </c>
      <c r="C109" s="21" t="str">
        <f t="shared" ca="1" si="38"/>
        <v xml:space="preserve"> </v>
      </c>
      <c r="D109" s="25" t="str">
        <f t="shared" si="43"/>
        <v/>
      </c>
      <c r="E109" s="22" t="str">
        <f t="shared" si="44"/>
        <v/>
      </c>
      <c r="F109" s="22" t="str">
        <f>IF(AND(A108="",A110=""),"",IF(A109="",ROUND(SUM($F$29:F108),2),IF(A109=$D$8,$E$28-ROUND(SUM($F$29:F108),2),ROUND($E$28/$D$8,2))))</f>
        <v/>
      </c>
      <c r="G109" s="22" t="str">
        <f>IF(A108=$D$8,SUM($G$29:G108),IF(A109&gt;$F$8,"",IF(U109&lt;&gt;U108,SUM(W109*$F$24*E108/U109,X109*$F$24*E108/U108),E108*$F$24*D109/U108)))</f>
        <v/>
      </c>
      <c r="H109" s="22" t="str">
        <f>IF(A108=$D$8,SUM($H$29:H108),IF(A108&gt;$D$8,"",F109+G109))</f>
        <v/>
      </c>
      <c r="I109" s="22"/>
      <c r="J109" s="22"/>
      <c r="K109" s="22"/>
      <c r="L109" s="22"/>
      <c r="M109" s="22" t="str">
        <f t="shared" si="45"/>
        <v/>
      </c>
      <c r="N109" s="22"/>
      <c r="O109" s="22"/>
      <c r="P109" s="22"/>
      <c r="Q109" s="68" t="str">
        <f>IF(A108=$D$8,XIRR(H$28:H108,C$28:C108),"")</f>
        <v/>
      </c>
      <c r="R109" s="22" t="str">
        <f t="shared" si="39"/>
        <v/>
      </c>
      <c r="S109" s="22"/>
      <c r="T109" s="15" t="e">
        <f t="shared" ca="1" si="40"/>
        <v>#VALUE!</v>
      </c>
      <c r="U109" s="15" t="e">
        <f t="shared" ca="1" si="41"/>
        <v>#VALUE!</v>
      </c>
      <c r="V109" s="15" t="e">
        <f t="shared" ca="1" si="34"/>
        <v>#VALUE!</v>
      </c>
      <c r="W109" s="16" t="e">
        <f t="shared" ca="1" si="35"/>
        <v>#VALUE!</v>
      </c>
      <c r="X109" s="17" t="e">
        <f t="shared" ca="1" si="36"/>
        <v>#VALUE!</v>
      </c>
      <c r="Y109" s="15"/>
    </row>
    <row r="110" spans="1:28" x14ac:dyDescent="0.35">
      <c r="A110" s="25" t="str">
        <f t="shared" si="42"/>
        <v/>
      </c>
      <c r="B110" s="21">
        <f ca="1">EDATE($B$28,82)</f>
        <v>46722</v>
      </c>
      <c r="C110" s="21" t="str">
        <f t="shared" ca="1" si="38"/>
        <v xml:space="preserve"> </v>
      </c>
      <c r="D110" s="25" t="str">
        <f t="shared" si="43"/>
        <v/>
      </c>
      <c r="E110" s="22" t="str">
        <f t="shared" si="44"/>
        <v/>
      </c>
      <c r="F110" s="22" t="str">
        <f>IF(AND(A109="",A111=""),"",IF(A110="",ROUND(SUM($F$29:F109),2),IF(A110=$D$8,$E$28-ROUND(SUM($F$29:F109),2),ROUND($E$28/$D$8,2))))</f>
        <v/>
      </c>
      <c r="G110" s="22" t="str">
        <f>IF(A109=$D$8,SUM($G$29:G109),IF(A110&gt;$F$8,"",IF(U110&lt;&gt;U109,SUM(W110*$F$24*E109/U110,X110*$F$24*E109/U109),E109*$F$24*D110/U109)))</f>
        <v/>
      </c>
      <c r="H110" s="22" t="str">
        <f>IF(A109=$D$8,SUM($H$29:H109),IF(A109&gt;$D$8,"",F110+G110))</f>
        <v/>
      </c>
      <c r="I110" s="22"/>
      <c r="J110" s="22"/>
      <c r="K110" s="22"/>
      <c r="L110" s="22"/>
      <c r="M110" s="22" t="str">
        <f t="shared" si="45"/>
        <v/>
      </c>
      <c r="N110" s="22"/>
      <c r="O110" s="22"/>
      <c r="P110" s="22"/>
      <c r="Q110" s="68" t="str">
        <f>IF(A109=$D$8,XIRR(H$28:H109,C$28:C109),"")</f>
        <v/>
      </c>
      <c r="R110" s="22" t="str">
        <f t="shared" si="39"/>
        <v/>
      </c>
      <c r="S110" s="22"/>
      <c r="T110" s="15" t="e">
        <f t="shared" ca="1" si="40"/>
        <v>#VALUE!</v>
      </c>
      <c r="U110" s="15" t="e">
        <f t="shared" ca="1" si="41"/>
        <v>#VALUE!</v>
      </c>
      <c r="V110" s="15" t="e">
        <f t="shared" ca="1" si="34"/>
        <v>#VALUE!</v>
      </c>
      <c r="W110" s="16" t="e">
        <f t="shared" ca="1" si="35"/>
        <v>#VALUE!</v>
      </c>
      <c r="X110" s="17" t="e">
        <f t="shared" ca="1" si="36"/>
        <v>#VALUE!</v>
      </c>
      <c r="Y110" s="15"/>
    </row>
    <row r="111" spans="1:28" x14ac:dyDescent="0.35">
      <c r="A111" s="25" t="str">
        <f t="shared" si="42"/>
        <v/>
      </c>
      <c r="B111" s="21">
        <f ca="1">EDATE($B$28,83)</f>
        <v>46753</v>
      </c>
      <c r="C111" s="21" t="str">
        <f t="shared" ca="1" si="38"/>
        <v xml:space="preserve"> </v>
      </c>
      <c r="D111" s="25" t="str">
        <f t="shared" si="43"/>
        <v/>
      </c>
      <c r="E111" s="22" t="str">
        <f t="shared" si="44"/>
        <v/>
      </c>
      <c r="F111" s="22" t="str">
        <f>IF(AND(A110="",A112=""),"",IF(A111="",ROUND(SUM($F$29:F110),2),IF(A111=$D$8,$E$28-ROUND(SUM($F$29:F110),2),ROUND($E$28/$D$8,2))))</f>
        <v/>
      </c>
      <c r="G111" s="22" t="str">
        <f>IF(A110=$D$8,SUM($G$29:G110),IF(A111&gt;$F$8,"",IF(U111&lt;&gt;U110,SUM(W111*$F$24*E110/U111,X111*$F$24*E110/U110),E110*$F$24*D111/U110)))</f>
        <v/>
      </c>
      <c r="H111" s="22" t="str">
        <f>IF(A110=$D$8,SUM($H$29:H110),IF(A110&gt;$D$8,"",F111+G111))</f>
        <v/>
      </c>
      <c r="I111" s="22"/>
      <c r="J111" s="22"/>
      <c r="K111" s="22"/>
      <c r="L111" s="22"/>
      <c r="M111" s="22" t="str">
        <f t="shared" si="45"/>
        <v/>
      </c>
      <c r="N111" s="22"/>
      <c r="O111" s="22"/>
      <c r="P111" s="22"/>
      <c r="Q111" s="68" t="str">
        <f>IF(A110=$D$8,XIRR(H$28:H110,C$28:C110),"")</f>
        <v/>
      </c>
      <c r="R111" s="22" t="str">
        <f t="shared" si="39"/>
        <v/>
      </c>
      <c r="S111" s="22"/>
      <c r="T111" s="15" t="e">
        <f t="shared" ca="1" si="40"/>
        <v>#VALUE!</v>
      </c>
      <c r="U111" s="15" t="e">
        <f t="shared" ca="1" si="41"/>
        <v>#VALUE!</v>
      </c>
      <c r="V111" s="15" t="e">
        <f t="shared" ca="1" si="34"/>
        <v>#VALUE!</v>
      </c>
      <c r="W111" s="16" t="e">
        <f t="shared" ca="1" si="35"/>
        <v>#VALUE!</v>
      </c>
      <c r="X111" s="17" t="e">
        <f t="shared" ca="1" si="36"/>
        <v>#VALUE!</v>
      </c>
      <c r="Y111" s="15"/>
      <c r="AB111" s="69"/>
    </row>
    <row r="112" spans="1:28" x14ac:dyDescent="0.35">
      <c r="A112" s="25" t="str">
        <f t="shared" si="42"/>
        <v/>
      </c>
      <c r="B112" s="21">
        <f ca="1">EDATE($B$28,84)</f>
        <v>46784</v>
      </c>
      <c r="C112" s="21" t="str">
        <f ca="1">IF(B112=$D$19,B112-1,(IF(B112&gt;$D$19," ",B112)))</f>
        <v xml:space="preserve"> </v>
      </c>
      <c r="D112" s="25" t="str">
        <f t="shared" si="43"/>
        <v/>
      </c>
      <c r="E112" s="22" t="str">
        <f t="shared" si="44"/>
        <v/>
      </c>
      <c r="F112" s="22" t="str">
        <f>IF(AND(A111="",A113=""),"",IF(A112="",ROUND(SUM($F$29:F111),2),IF(A112=$D$8,$E$28-ROUND(SUM($F$29:F111),2),ROUND($E$28/$D$8,2))))</f>
        <v/>
      </c>
      <c r="G112" s="22" t="str">
        <f>IF(A111=$D$8,SUM($G$29:G111),IF(A112&gt;$F$8,"",IF(U112&lt;&gt;U111,SUM(W112*$F$24*E111/U112,X112*$F$24*E111/U111),E111*$F$24*D112/U111)))</f>
        <v/>
      </c>
      <c r="H112" s="22" t="str">
        <f>IF(A111=$D$8,SUM($H$29:H111),IF(A111&gt;$D$8,"",F112+G112))</f>
        <v/>
      </c>
      <c r="I112" s="22"/>
      <c r="J112" s="22"/>
      <c r="K112" s="22"/>
      <c r="L112" s="22"/>
      <c r="M112" s="22" t="str">
        <f t="shared" si="45"/>
        <v/>
      </c>
      <c r="N112" s="22"/>
      <c r="O112" s="22"/>
      <c r="P112" s="22"/>
      <c r="Q112" s="68" t="str">
        <f>IF(A111=$D$8,XIRR(H$28:H111,C$28:C111),"")</f>
        <v/>
      </c>
      <c r="R112" s="22" t="str">
        <f t="shared" si="39"/>
        <v/>
      </c>
      <c r="S112" s="22"/>
      <c r="T112" s="15" t="e">
        <f t="shared" ca="1" si="40"/>
        <v>#VALUE!</v>
      </c>
      <c r="U112" s="15" t="e">
        <f t="shared" ca="1" si="41"/>
        <v>#VALUE!</v>
      </c>
      <c r="V112" s="15" t="e">
        <f t="shared" ca="1" si="34"/>
        <v>#VALUE!</v>
      </c>
      <c r="W112" s="16" t="e">
        <f t="shared" ca="1" si="35"/>
        <v>#VALUE!</v>
      </c>
      <c r="X112" s="17" t="e">
        <f t="shared" ca="1" si="36"/>
        <v>#VALUE!</v>
      </c>
      <c r="Y112" s="15"/>
    </row>
    <row r="113" spans="1:25" x14ac:dyDescent="0.35">
      <c r="A113" s="25" t="str">
        <f t="shared" si="42"/>
        <v/>
      </c>
      <c r="B113" s="15"/>
      <c r="C113" s="21"/>
      <c r="D113" s="15"/>
      <c r="E113" s="15"/>
      <c r="F113" s="22" t="str">
        <f>IF(AND(A112="",A114=""),"",IF(A113="",ROUND(SUM($F$29:F112),2),IF(A113=$D$8,$E$28-ROUND(SUM($F$29:F112),2),ROUND($E$28/$D$8,2))))</f>
        <v/>
      </c>
      <c r="G113" s="22" t="str">
        <f>IF(A112=$D$8,SUM($G$29:G112),IF(A113&gt;$F$8,"",IF(U113&lt;&gt;U112,SUM(W113*$F$24*E112/U113,X113*$F$24*E112/U112),E112*$F$24*D113/U112)))</f>
        <v/>
      </c>
      <c r="H113" s="22" t="str">
        <f>IF(A112=$D$8,SUM($H$29:H112),IF(A112&gt;$D$8,"",F113+G113))</f>
        <v/>
      </c>
      <c r="I113" s="22"/>
      <c r="J113" s="22"/>
      <c r="K113" s="22"/>
      <c r="L113" s="22"/>
      <c r="M113" s="22" t="str">
        <f t="shared" si="45"/>
        <v/>
      </c>
      <c r="N113" s="22"/>
      <c r="O113" s="22"/>
      <c r="P113" s="22"/>
      <c r="Q113" s="68" t="str">
        <f>IF(A112=$D$8,XIRR(H$28:H112,C$28:C112),"")</f>
        <v/>
      </c>
      <c r="R113" s="22" t="str">
        <f>IF(A112=$D$8,G113+M113+F113,"")</f>
        <v/>
      </c>
      <c r="S113" s="22"/>
      <c r="T113" s="15"/>
      <c r="U113" s="15"/>
      <c r="V113" s="15"/>
      <c r="W113" s="15"/>
      <c r="X113" s="15"/>
      <c r="Y113" s="15"/>
    </row>
    <row r="114" spans="1:25" x14ac:dyDescent="0.35">
      <c r="A114" s="15"/>
      <c r="B114" s="15"/>
      <c r="C114" s="21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68"/>
      <c r="R114" s="15"/>
      <c r="S114" s="15"/>
      <c r="T114" s="15"/>
      <c r="U114" s="15"/>
      <c r="V114" s="15"/>
      <c r="W114" s="15"/>
      <c r="X114" s="15"/>
      <c r="Y114" s="15"/>
    </row>
    <row r="115" spans="1:25" x14ac:dyDescent="0.35">
      <c r="A115" s="15"/>
      <c r="B115" s="15"/>
      <c r="C115" s="21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68"/>
      <c r="R115" s="15"/>
      <c r="S115" s="15"/>
      <c r="T115" s="15"/>
      <c r="U115" s="15"/>
      <c r="V115" s="15"/>
      <c r="W115" s="15"/>
      <c r="X115" s="15"/>
      <c r="Y115" s="15"/>
    </row>
    <row r="116" spans="1:25" x14ac:dyDescent="0.35">
      <c r="A116" s="15"/>
      <c r="B116" s="15"/>
      <c r="C116" s="21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68"/>
      <c r="R116" s="15"/>
      <c r="S116" s="15"/>
      <c r="T116" s="15"/>
      <c r="U116" s="15"/>
      <c r="V116" s="15"/>
      <c r="W116" s="15"/>
      <c r="X116" s="15"/>
      <c r="Y116" s="15"/>
    </row>
    <row r="117" spans="1:25" x14ac:dyDescent="0.35">
      <c r="A117" s="15"/>
      <c r="B117" s="15"/>
      <c r="C117" s="21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 x14ac:dyDescent="0.3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 x14ac:dyDescent="0.3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x14ac:dyDescent="0.3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x14ac:dyDescent="0.3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 x14ac:dyDescent="0.3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 x14ac:dyDescent="0.3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 x14ac:dyDescent="0.3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 x14ac:dyDescent="0.3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 x14ac:dyDescent="0.3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 x14ac:dyDescent="0.3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 x14ac:dyDescent="0.3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1:25" x14ac:dyDescent="0.3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1:25" x14ac:dyDescent="0.3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1:25" x14ac:dyDescent="0.3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1:25" x14ac:dyDescent="0.3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1:25" x14ac:dyDescent="0.3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1:25" x14ac:dyDescent="0.3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1:25" x14ac:dyDescent="0.3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1:25" x14ac:dyDescent="0.3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1:25" x14ac:dyDescent="0.3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1:25" x14ac:dyDescent="0.3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1:25" x14ac:dyDescent="0.3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1:25" x14ac:dyDescent="0.3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1:25" x14ac:dyDescent="0.3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1:25" x14ac:dyDescent="0.3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1:25" x14ac:dyDescent="0.3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1:25" x14ac:dyDescent="0.3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1:25" x14ac:dyDescent="0.3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1:25" x14ac:dyDescent="0.3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1:25" x14ac:dyDescent="0.3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1:25" x14ac:dyDescent="0.3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1:25" x14ac:dyDescent="0.3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1:25" x14ac:dyDescent="0.3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1:25" x14ac:dyDescent="0.3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1:25" x14ac:dyDescent="0.3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1:25" x14ac:dyDescent="0.3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1:25" x14ac:dyDescent="0.3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1:25" x14ac:dyDescent="0.3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1:25" x14ac:dyDescent="0.3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1:25" x14ac:dyDescent="0.3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1:25" x14ac:dyDescent="0.3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1:25" x14ac:dyDescent="0.3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1:25" x14ac:dyDescent="0.3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1:25" x14ac:dyDescent="0.3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1:25" x14ac:dyDescent="0.3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1:25" x14ac:dyDescent="0.3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1:25" x14ac:dyDescent="0.3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1:25" x14ac:dyDescent="0.3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1:25" x14ac:dyDescent="0.3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1:25" x14ac:dyDescent="0.3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1:25" x14ac:dyDescent="0.3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1:25" x14ac:dyDescent="0.3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1:25" x14ac:dyDescent="0.3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1:25" x14ac:dyDescent="0.3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spans="1:25" x14ac:dyDescent="0.3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1:25" x14ac:dyDescent="0.3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spans="1:25" x14ac:dyDescent="0.3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spans="1:25" x14ac:dyDescent="0.3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spans="1:25" x14ac:dyDescent="0.3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spans="1:25" x14ac:dyDescent="0.3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spans="1:25" x14ac:dyDescent="0.3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spans="1:25" x14ac:dyDescent="0.3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spans="1:25" x14ac:dyDescent="0.3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spans="1:25" x14ac:dyDescent="0.3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spans="1:25" x14ac:dyDescent="0.3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spans="1:25" x14ac:dyDescent="0.3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spans="1:25" x14ac:dyDescent="0.3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spans="1:25" x14ac:dyDescent="0.3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spans="1:25" x14ac:dyDescent="0.3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spans="1:25" x14ac:dyDescent="0.3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spans="1:25" x14ac:dyDescent="0.3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</row>
    <row r="189" spans="1:25" x14ac:dyDescent="0.3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</row>
    <row r="190" spans="1:25" x14ac:dyDescent="0.3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spans="1:25" x14ac:dyDescent="0.3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spans="1:25" x14ac:dyDescent="0.3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spans="1:25" x14ac:dyDescent="0.35">
      <c r="A193" s="3"/>
      <c r="R193" s="15"/>
      <c r="S193" s="15"/>
      <c r="T193" s="15"/>
      <c r="U193" s="15"/>
      <c r="V193" s="15"/>
      <c r="W193" s="15"/>
      <c r="X193" s="15"/>
      <c r="Y193" s="15"/>
    </row>
    <row r="194" spans="1:25" x14ac:dyDescent="0.35">
      <c r="A194" s="3"/>
      <c r="R194" s="15"/>
      <c r="S194" s="15"/>
      <c r="T194" s="15"/>
      <c r="U194" s="15"/>
      <c r="V194" s="15"/>
      <c r="W194" s="15"/>
      <c r="X194" s="15"/>
      <c r="Y194" s="15"/>
    </row>
    <row r="195" spans="1:25" x14ac:dyDescent="0.35">
      <c r="A195" s="3"/>
      <c r="R195" s="15"/>
      <c r="S195" s="15"/>
      <c r="T195" s="15"/>
      <c r="U195" s="15"/>
      <c r="V195" s="15"/>
      <c r="W195" s="15"/>
      <c r="X195" s="15"/>
      <c r="Y195" s="15"/>
    </row>
    <row r="196" spans="1:25" x14ac:dyDescent="0.35">
      <c r="A196" s="3"/>
      <c r="R196" s="15"/>
      <c r="S196" s="15"/>
      <c r="T196" s="15"/>
      <c r="U196" s="15"/>
      <c r="V196" s="15"/>
      <c r="W196" s="15"/>
      <c r="X196" s="15"/>
      <c r="Y196" s="15"/>
    </row>
    <row r="197" spans="1:25" x14ac:dyDescent="0.35">
      <c r="A197" s="3"/>
      <c r="R197" s="15"/>
      <c r="S197" s="15"/>
      <c r="T197" s="15"/>
      <c r="U197" s="15"/>
      <c r="V197" s="15"/>
      <c r="W197" s="15"/>
      <c r="X197" s="15"/>
      <c r="Y197" s="15"/>
    </row>
    <row r="198" spans="1:25" x14ac:dyDescent="0.35">
      <c r="A198" s="3"/>
      <c r="R198" s="15"/>
      <c r="S198" s="15"/>
      <c r="T198" s="15"/>
      <c r="U198" s="15"/>
      <c r="V198" s="15"/>
      <c r="W198" s="15"/>
      <c r="X198" s="15"/>
      <c r="Y198" s="15"/>
    </row>
    <row r="199" spans="1:25" x14ac:dyDescent="0.35">
      <c r="A199" s="3"/>
      <c r="R199" s="15"/>
      <c r="S199" s="15"/>
      <c r="T199" s="15"/>
      <c r="U199" s="15"/>
      <c r="V199" s="15"/>
      <c r="W199" s="15"/>
      <c r="X199" s="15"/>
      <c r="Y199" s="15"/>
    </row>
    <row r="200" spans="1:25" x14ac:dyDescent="0.35">
      <c r="A200" s="3"/>
      <c r="R200" s="15"/>
      <c r="S200" s="15"/>
      <c r="T200" s="15"/>
      <c r="U200" s="15"/>
      <c r="V200" s="15"/>
      <c r="W200" s="15"/>
      <c r="X200" s="15"/>
      <c r="Y200" s="15"/>
    </row>
    <row r="201" spans="1:25" x14ac:dyDescent="0.35">
      <c r="A201" s="3"/>
      <c r="R201" s="15"/>
      <c r="S201" s="15"/>
      <c r="T201" s="15"/>
      <c r="U201" s="15"/>
      <c r="V201" s="15"/>
      <c r="W201" s="15"/>
      <c r="X201" s="15"/>
      <c r="Y201" s="15"/>
    </row>
    <row r="202" spans="1:25" x14ac:dyDescent="0.35">
      <c r="A202" s="3"/>
      <c r="R202" s="15"/>
      <c r="S202" s="15"/>
      <c r="T202" s="15"/>
      <c r="U202" s="15"/>
      <c r="V202" s="15"/>
      <c r="W202" s="15"/>
      <c r="X202" s="15"/>
      <c r="Y202" s="15"/>
    </row>
    <row r="203" spans="1:25" x14ac:dyDescent="0.35">
      <c r="A203" s="3"/>
      <c r="R203" s="15"/>
      <c r="S203" s="15"/>
      <c r="T203" s="15"/>
      <c r="U203" s="15"/>
      <c r="V203" s="15"/>
      <c r="W203" s="15"/>
      <c r="X203" s="15"/>
      <c r="Y203" s="15"/>
    </row>
    <row r="204" spans="1:25" x14ac:dyDescent="0.35">
      <c r="A204" s="3"/>
      <c r="R204" s="15"/>
      <c r="S204" s="15"/>
      <c r="T204" s="15"/>
      <c r="U204" s="15"/>
      <c r="V204" s="15"/>
      <c r="W204" s="15"/>
      <c r="X204" s="15"/>
      <c r="Y204" s="15"/>
    </row>
    <row r="205" spans="1:25" x14ac:dyDescent="0.35">
      <c r="A205" s="3"/>
      <c r="R205" s="15"/>
      <c r="S205" s="15"/>
      <c r="T205" s="15"/>
      <c r="U205" s="15"/>
      <c r="V205" s="15"/>
      <c r="W205" s="15"/>
      <c r="X205" s="15"/>
      <c r="Y205" s="15"/>
    </row>
    <row r="206" spans="1:25" x14ac:dyDescent="0.35">
      <c r="A206" s="3"/>
      <c r="R206" s="15"/>
      <c r="S206" s="15"/>
      <c r="T206" s="15"/>
      <c r="U206" s="15"/>
      <c r="V206" s="15"/>
      <c r="W206" s="15"/>
      <c r="X206" s="15"/>
      <c r="Y206" s="15"/>
    </row>
    <row r="207" spans="1:25" x14ac:dyDescent="0.35">
      <c r="A207" s="3"/>
      <c r="R207" s="15"/>
      <c r="S207" s="15"/>
      <c r="T207" s="15"/>
      <c r="U207" s="15"/>
      <c r="V207" s="15"/>
      <c r="W207" s="15"/>
      <c r="X207" s="15"/>
      <c r="Y207" s="15"/>
    </row>
    <row r="208" spans="1:25" x14ac:dyDescent="0.35">
      <c r="A208" s="3"/>
      <c r="R208" s="15"/>
      <c r="S208" s="15"/>
      <c r="T208" s="15"/>
      <c r="U208" s="15"/>
      <c r="V208" s="15"/>
      <c r="W208" s="15"/>
      <c r="X208" s="15"/>
      <c r="Y208" s="15"/>
    </row>
    <row r="209" spans="1:25" x14ac:dyDescent="0.35">
      <c r="A209" s="3"/>
      <c r="R209" s="15"/>
      <c r="S209" s="15"/>
      <c r="T209" s="15"/>
      <c r="U209" s="15"/>
      <c r="V209" s="15"/>
      <c r="W209" s="15"/>
      <c r="X209" s="15"/>
      <c r="Y209" s="15"/>
    </row>
    <row r="210" spans="1:25" x14ac:dyDescent="0.35">
      <c r="A210" s="3"/>
      <c r="R210" s="15"/>
      <c r="S210" s="15"/>
      <c r="T210" s="15"/>
      <c r="U210" s="15"/>
      <c r="V210" s="15"/>
      <c r="W210" s="15"/>
      <c r="X210" s="15"/>
      <c r="Y210" s="15"/>
    </row>
    <row r="211" spans="1:25" x14ac:dyDescent="0.35">
      <c r="A211" s="3"/>
      <c r="R211" s="15"/>
      <c r="S211" s="15"/>
      <c r="T211" s="15"/>
      <c r="U211" s="15"/>
      <c r="V211" s="15"/>
      <c r="W211" s="15"/>
      <c r="X211" s="15"/>
      <c r="Y211" s="15"/>
    </row>
    <row r="212" spans="1:25" x14ac:dyDescent="0.35">
      <c r="A212" s="3"/>
      <c r="R212" s="15"/>
      <c r="S212" s="15"/>
      <c r="T212" s="15"/>
      <c r="U212" s="15"/>
      <c r="V212" s="15"/>
      <c r="W212" s="15"/>
      <c r="X212" s="15"/>
      <c r="Y212" s="15"/>
    </row>
    <row r="213" spans="1:25" x14ac:dyDescent="0.35">
      <c r="A213" s="3"/>
      <c r="R213" s="15"/>
      <c r="S213" s="15"/>
      <c r="T213" s="15"/>
      <c r="U213" s="15"/>
      <c r="V213" s="15"/>
      <c r="W213" s="15"/>
      <c r="X213" s="15"/>
      <c r="Y213" s="15"/>
    </row>
    <row r="214" spans="1:25" x14ac:dyDescent="0.35">
      <c r="A214" s="3"/>
      <c r="R214" s="15"/>
      <c r="S214" s="15"/>
      <c r="T214" s="15"/>
      <c r="U214" s="15"/>
      <c r="V214" s="15"/>
      <c r="W214" s="15"/>
      <c r="X214" s="15"/>
      <c r="Y214" s="15"/>
    </row>
    <row r="215" spans="1:25" x14ac:dyDescent="0.35">
      <c r="A215" s="3"/>
      <c r="R215" s="15"/>
      <c r="S215" s="15"/>
      <c r="T215" s="15"/>
      <c r="U215" s="15"/>
      <c r="V215" s="15"/>
      <c r="W215" s="15"/>
      <c r="X215" s="15"/>
      <c r="Y215" s="15"/>
    </row>
    <row r="216" spans="1:25" x14ac:dyDescent="0.35">
      <c r="A216" s="3"/>
    </row>
    <row r="217" spans="1:25" x14ac:dyDescent="0.35">
      <c r="A217" s="3"/>
    </row>
    <row r="218" spans="1:25" x14ac:dyDescent="0.35">
      <c r="A218" s="3"/>
    </row>
    <row r="219" spans="1:25" x14ac:dyDescent="0.35">
      <c r="A219" s="3"/>
      <c r="C219"/>
    </row>
    <row r="220" spans="1:25" x14ac:dyDescent="0.35">
      <c r="A220" s="3"/>
      <c r="C220"/>
    </row>
    <row r="221" spans="1:25" x14ac:dyDescent="0.35">
      <c r="A221" s="3"/>
      <c r="C221"/>
    </row>
    <row r="222" spans="1:25" x14ac:dyDescent="0.35">
      <c r="A222" s="3"/>
      <c r="C222"/>
    </row>
    <row r="223" spans="1:25" x14ac:dyDescent="0.35">
      <c r="A223" s="3"/>
      <c r="C223"/>
    </row>
    <row r="224" spans="1:25" x14ac:dyDescent="0.35">
      <c r="A224" s="3"/>
      <c r="C224"/>
    </row>
    <row r="225" spans="1:3" x14ac:dyDescent="0.35">
      <c r="A225" s="3"/>
      <c r="C225"/>
    </row>
    <row r="226" spans="1:3" x14ac:dyDescent="0.35">
      <c r="A226" s="3"/>
      <c r="C226"/>
    </row>
    <row r="227" spans="1:3" x14ac:dyDescent="0.35">
      <c r="A227" s="3"/>
      <c r="C227"/>
    </row>
    <row r="228" spans="1:3" x14ac:dyDescent="0.35">
      <c r="A228" s="3"/>
      <c r="C228"/>
    </row>
    <row r="229" spans="1:3" x14ac:dyDescent="0.35">
      <c r="A229" s="3"/>
      <c r="C229"/>
    </row>
    <row r="230" spans="1:3" x14ac:dyDescent="0.35">
      <c r="A230" s="3"/>
      <c r="C230"/>
    </row>
    <row r="231" spans="1:3" x14ac:dyDescent="0.35">
      <c r="A231" s="3"/>
      <c r="C231"/>
    </row>
    <row r="232" spans="1:3" x14ac:dyDescent="0.35">
      <c r="A232" s="3"/>
      <c r="C232"/>
    </row>
    <row r="233" spans="1:3" x14ac:dyDescent="0.35">
      <c r="A233" s="3"/>
      <c r="C233"/>
    </row>
    <row r="234" spans="1:3" x14ac:dyDescent="0.35">
      <c r="A234" s="3"/>
      <c r="C234"/>
    </row>
    <row r="235" spans="1:3" x14ac:dyDescent="0.35">
      <c r="A235" s="3"/>
      <c r="C235"/>
    </row>
    <row r="236" spans="1:3" x14ac:dyDescent="0.35">
      <c r="A236" s="3"/>
      <c r="C236"/>
    </row>
    <row r="237" spans="1:3" x14ac:dyDescent="0.35">
      <c r="A237" s="3"/>
      <c r="C237"/>
    </row>
    <row r="238" spans="1:3" x14ac:dyDescent="0.35">
      <c r="A238" s="3"/>
      <c r="C238"/>
    </row>
    <row r="239" spans="1:3" x14ac:dyDescent="0.35">
      <c r="A239" s="3"/>
      <c r="C239"/>
    </row>
    <row r="240" spans="1:3" x14ac:dyDescent="0.35">
      <c r="A240" s="3"/>
      <c r="C240"/>
    </row>
    <row r="241" spans="1:3" x14ac:dyDescent="0.35">
      <c r="A241" s="3"/>
      <c r="C241"/>
    </row>
    <row r="242" spans="1:3" x14ac:dyDescent="0.35">
      <c r="A242" s="3"/>
      <c r="C242"/>
    </row>
    <row r="243" spans="1:3" x14ac:dyDescent="0.35">
      <c r="A243" s="3"/>
      <c r="C243"/>
    </row>
    <row r="244" spans="1:3" x14ac:dyDescent="0.35">
      <c r="A244" s="3"/>
      <c r="C244"/>
    </row>
    <row r="245" spans="1:3" x14ac:dyDescent="0.35">
      <c r="A245" s="3"/>
      <c r="C245"/>
    </row>
    <row r="246" spans="1:3" x14ac:dyDescent="0.35">
      <c r="A246" s="3"/>
      <c r="C246"/>
    </row>
    <row r="247" spans="1:3" x14ac:dyDescent="0.35">
      <c r="A247" s="3"/>
      <c r="C247"/>
    </row>
    <row r="248" spans="1:3" x14ac:dyDescent="0.35">
      <c r="A248" s="3"/>
      <c r="C248"/>
    </row>
    <row r="249" spans="1:3" x14ac:dyDescent="0.35">
      <c r="A249" s="3"/>
      <c r="C249"/>
    </row>
    <row r="250" spans="1:3" x14ac:dyDescent="0.35">
      <c r="A250" s="3"/>
      <c r="C250"/>
    </row>
    <row r="251" spans="1:3" x14ac:dyDescent="0.35">
      <c r="A251" s="3"/>
      <c r="C251"/>
    </row>
    <row r="252" spans="1:3" x14ac:dyDescent="0.35">
      <c r="A252" s="3"/>
      <c r="C252"/>
    </row>
    <row r="253" spans="1:3" x14ac:dyDescent="0.35">
      <c r="A253" s="3"/>
      <c r="C253"/>
    </row>
    <row r="254" spans="1:3" x14ac:dyDescent="0.35">
      <c r="A254" s="3"/>
      <c r="C254"/>
    </row>
    <row r="255" spans="1:3" x14ac:dyDescent="0.35">
      <c r="A255" s="3"/>
      <c r="C255"/>
    </row>
    <row r="256" spans="1:3" x14ac:dyDescent="0.35">
      <c r="A256" s="3"/>
      <c r="C256"/>
    </row>
    <row r="257" spans="1:3" x14ac:dyDescent="0.35">
      <c r="A257" s="3"/>
      <c r="C257"/>
    </row>
    <row r="258" spans="1:3" x14ac:dyDescent="0.35">
      <c r="A258" s="3"/>
      <c r="C258"/>
    </row>
    <row r="259" spans="1:3" x14ac:dyDescent="0.35">
      <c r="A259" s="3"/>
      <c r="C259"/>
    </row>
    <row r="260" spans="1:3" x14ac:dyDescent="0.35">
      <c r="A260" s="3"/>
      <c r="C260"/>
    </row>
    <row r="261" spans="1:3" x14ac:dyDescent="0.35">
      <c r="A261" s="3"/>
      <c r="C261"/>
    </row>
    <row r="262" spans="1:3" x14ac:dyDescent="0.35">
      <c r="A262" s="3"/>
      <c r="C262"/>
    </row>
    <row r="263" spans="1:3" x14ac:dyDescent="0.35">
      <c r="A263" s="3"/>
      <c r="C263"/>
    </row>
    <row r="264" spans="1:3" x14ac:dyDescent="0.35">
      <c r="A264" s="3"/>
      <c r="C264"/>
    </row>
    <row r="265" spans="1:3" x14ac:dyDescent="0.35">
      <c r="A265" s="3"/>
      <c r="C265"/>
    </row>
    <row r="266" spans="1:3" x14ac:dyDescent="0.35">
      <c r="A266" s="3"/>
      <c r="C266"/>
    </row>
    <row r="267" spans="1:3" x14ac:dyDescent="0.35">
      <c r="A267" s="3"/>
      <c r="C267"/>
    </row>
    <row r="268" spans="1:3" x14ac:dyDescent="0.35">
      <c r="A268" s="3"/>
      <c r="C268"/>
    </row>
    <row r="269" spans="1:3" x14ac:dyDescent="0.35">
      <c r="A269" s="3"/>
      <c r="C269"/>
    </row>
    <row r="270" spans="1:3" x14ac:dyDescent="0.35">
      <c r="A270" s="3"/>
      <c r="C270"/>
    </row>
    <row r="271" spans="1:3" x14ac:dyDescent="0.35">
      <c r="A271" s="3"/>
      <c r="C271"/>
    </row>
    <row r="272" spans="1:3" x14ac:dyDescent="0.35">
      <c r="A272" s="3"/>
      <c r="C272"/>
    </row>
    <row r="273" spans="1:3" x14ac:dyDescent="0.35">
      <c r="A273" s="3"/>
      <c r="C273"/>
    </row>
    <row r="274" spans="1:3" x14ac:dyDescent="0.35">
      <c r="A274" s="3"/>
      <c r="C274"/>
    </row>
    <row r="275" spans="1:3" x14ac:dyDescent="0.35">
      <c r="A275" s="3"/>
      <c r="C275"/>
    </row>
    <row r="276" spans="1:3" x14ac:dyDescent="0.35">
      <c r="A276" s="3"/>
      <c r="C276"/>
    </row>
    <row r="277" spans="1:3" x14ac:dyDescent="0.35">
      <c r="A277" s="3"/>
      <c r="C277"/>
    </row>
    <row r="278" spans="1:3" x14ac:dyDescent="0.35">
      <c r="A278" s="3"/>
      <c r="C278"/>
    </row>
    <row r="279" spans="1:3" x14ac:dyDescent="0.35">
      <c r="A279" s="3"/>
      <c r="C279"/>
    </row>
    <row r="280" spans="1:3" x14ac:dyDescent="0.35">
      <c r="A280" s="3"/>
      <c r="C280"/>
    </row>
    <row r="281" spans="1:3" x14ac:dyDescent="0.35">
      <c r="A281" s="3"/>
      <c r="C281"/>
    </row>
    <row r="282" spans="1:3" x14ac:dyDescent="0.35">
      <c r="A282" s="3"/>
      <c r="C282"/>
    </row>
    <row r="283" spans="1:3" x14ac:dyDescent="0.35">
      <c r="A283" s="3"/>
      <c r="C283"/>
    </row>
    <row r="284" spans="1:3" x14ac:dyDescent="0.35">
      <c r="A284" s="3"/>
      <c r="C284"/>
    </row>
  </sheetData>
  <sheetProtection algorithmName="SHA-512" hashValue="JvlK2FkZZ53XW0SYA2UnlzmEgVYGyn+Lr/WgDrNr/Ji3BL7jZHAcifqeNR7ksHateaBBry7QMsCw+Il7JGvVdw==" saltValue="Je9ja4W53LTulwfIt4fxMQ==" spinCount="100000" sheet="1" objects="1" scenarios="1"/>
  <protectedRanges>
    <protectedRange password="C797" sqref="Q4 A26:H27 M27:R27 M26 P26:R26 A90:S124 P28:Q28 R89:S89 P29:P89 R28:R88 A28:N89" name="Диапазон1"/>
    <protectedRange password="C797" sqref="O42:O52 O54:O64 O66:O76 O78:O88 O28:O40" name="Диапазон1_1"/>
    <protectedRange password="C797" sqref="S26:S88" name="Диапазон1_2"/>
  </protectedRanges>
  <mergeCells count="25">
    <mergeCell ref="D20:F20"/>
    <mergeCell ref="A1:R1"/>
    <mergeCell ref="H5:Q5"/>
    <mergeCell ref="H3:M3"/>
    <mergeCell ref="H4:M4"/>
    <mergeCell ref="H6:M6"/>
    <mergeCell ref="P7:Q7"/>
    <mergeCell ref="P8:Q8"/>
    <mergeCell ref="P9:Q9"/>
    <mergeCell ref="P18:Q18"/>
    <mergeCell ref="I26:L26"/>
    <mergeCell ref="H10:M10"/>
    <mergeCell ref="P10:Q10"/>
    <mergeCell ref="H11:M11"/>
    <mergeCell ref="P11:Q11"/>
    <mergeCell ref="H12:H16"/>
    <mergeCell ref="P12:Q12"/>
    <mergeCell ref="P13:Q13"/>
    <mergeCell ref="N14:O14"/>
    <mergeCell ref="N15:O15"/>
    <mergeCell ref="P16:Q16"/>
    <mergeCell ref="N17:O17"/>
    <mergeCell ref="P17:Q17"/>
    <mergeCell ref="H17:H18"/>
    <mergeCell ref="N18:O18"/>
  </mergeCells>
  <dataValidations disablePrompts="1" count="2">
    <dataValidation type="list" allowBlank="1" showInputMessage="1" showErrorMessage="1" sqref="R8:S8">
      <formula1>$U$8:$U$9</formula1>
    </dataValidation>
    <dataValidation type="list" allowBlank="1" showInputMessage="1" showErrorMessage="1" sqref="M21:P21">
      <formula1>$AB$7:$AB$8</formula1>
    </dataValidation>
  </dataValidations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ignoredErrors>
    <ignoredError sqref="G9 F3 D9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74"/>
  <sheetViews>
    <sheetView topLeftCell="A23" workbookViewId="0">
      <selection activeCell="A30" sqref="A30:C30"/>
    </sheetView>
  </sheetViews>
  <sheetFormatPr defaultColWidth="9.1796875" defaultRowHeight="14.5" x14ac:dyDescent="0.35"/>
  <cols>
    <col min="1" max="1" width="45.54296875" style="8" customWidth="1"/>
    <col min="2" max="2" width="7.453125" style="8" customWidth="1"/>
    <col min="3" max="3" width="60.81640625" style="8" customWidth="1"/>
    <col min="4" max="5" width="9.1796875" style="76"/>
    <col min="6" max="16384" width="9.1796875" style="5"/>
  </cols>
  <sheetData>
    <row r="1" spans="1:5" ht="15" thickBot="1" x14ac:dyDescent="0.4">
      <c r="A1" s="243" t="s">
        <v>0</v>
      </c>
      <c r="B1" s="244"/>
      <c r="C1" s="244"/>
    </row>
    <row r="2" spans="1:5" ht="15" customHeight="1" x14ac:dyDescent="0.35">
      <c r="A2" s="282" t="s">
        <v>1</v>
      </c>
      <c r="B2" s="276" t="s">
        <v>106</v>
      </c>
      <c r="C2" s="277"/>
    </row>
    <row r="3" spans="1:5" ht="15" thickBot="1" x14ac:dyDescent="0.4">
      <c r="A3" s="283"/>
      <c r="B3" s="278"/>
      <c r="C3" s="279"/>
    </row>
    <row r="4" spans="1:5" ht="15" thickBot="1" x14ac:dyDescent="0.4">
      <c r="A4" s="284"/>
      <c r="B4" s="245" t="str">
        <f>паспорт!B5</f>
        <v xml:space="preserve">Відділення «Конституції» </v>
      </c>
      <c r="C4" s="246"/>
      <c r="E4" s="209" t="s">
        <v>527</v>
      </c>
    </row>
    <row r="5" spans="1:5" ht="15" customHeight="1" x14ac:dyDescent="0.35">
      <c r="A5" s="282" t="s">
        <v>2</v>
      </c>
      <c r="B5" s="276" t="s">
        <v>3</v>
      </c>
      <c r="C5" s="277"/>
    </row>
    <row r="6" spans="1:5" x14ac:dyDescent="0.35">
      <c r="A6" s="283"/>
      <c r="B6" s="280" t="s">
        <v>4</v>
      </c>
      <c r="C6" s="281"/>
    </row>
    <row r="7" spans="1:5" ht="15" thickBot="1" x14ac:dyDescent="0.4">
      <c r="A7" s="284"/>
      <c r="B7" s="270" t="str">
        <f>паспорт!B8</f>
        <v>61003, м. Харків, 
майдан Конституції, 2/2</v>
      </c>
      <c r="C7" s="271"/>
    </row>
    <row r="8" spans="1:5" x14ac:dyDescent="0.35">
      <c r="A8" s="285" t="s">
        <v>5</v>
      </c>
      <c r="B8" s="272" t="s">
        <v>6</v>
      </c>
      <c r="C8" s="273"/>
    </row>
    <row r="9" spans="1:5" ht="15" thickBot="1" x14ac:dyDescent="0.4">
      <c r="A9" s="286"/>
      <c r="B9" s="274" t="s">
        <v>107</v>
      </c>
      <c r="C9" s="275"/>
    </row>
    <row r="10" spans="1:5" ht="15" thickBot="1" x14ac:dyDescent="0.4">
      <c r="A10" s="183" t="s">
        <v>7</v>
      </c>
      <c r="B10" s="245" t="s">
        <v>8</v>
      </c>
      <c r="C10" s="246"/>
    </row>
    <row r="11" spans="1:5" ht="15" thickBot="1" x14ac:dyDescent="0.4">
      <c r="A11" s="183" t="s">
        <v>9</v>
      </c>
      <c r="B11" s="245" t="s">
        <v>10</v>
      </c>
      <c r="C11" s="246"/>
    </row>
    <row r="12" spans="1:5" ht="15" thickBot="1" x14ac:dyDescent="0.4">
      <c r="A12" s="183" t="s">
        <v>11</v>
      </c>
      <c r="B12" s="245" t="s">
        <v>12</v>
      </c>
      <c r="C12" s="246"/>
    </row>
    <row r="13" spans="1:5" ht="15.75" customHeight="1" thickBot="1" x14ac:dyDescent="0.4">
      <c r="A13" s="247" t="s">
        <v>13</v>
      </c>
      <c r="B13" s="248"/>
      <c r="C13" s="249"/>
    </row>
    <row r="14" spans="1:5" ht="15.75" customHeight="1" thickBot="1" x14ac:dyDescent="0.4">
      <c r="A14" s="184" t="s">
        <v>153</v>
      </c>
      <c r="B14" s="264" t="s">
        <v>154</v>
      </c>
      <c r="C14" s="265"/>
    </row>
    <row r="15" spans="1:5" ht="15.75" customHeight="1" thickBot="1" x14ac:dyDescent="0.4">
      <c r="A15" s="184" t="s">
        <v>155</v>
      </c>
      <c r="B15" s="266"/>
      <c r="C15" s="267"/>
    </row>
    <row r="16" spans="1:5" ht="15.75" customHeight="1" thickBot="1" x14ac:dyDescent="0.4">
      <c r="A16" s="184" t="s">
        <v>7</v>
      </c>
      <c r="B16" s="266"/>
      <c r="C16" s="267"/>
    </row>
    <row r="17" spans="1:5" ht="15.75" customHeight="1" thickBot="1" x14ac:dyDescent="0.4">
      <c r="A17" s="184" t="s">
        <v>9</v>
      </c>
      <c r="B17" s="266"/>
      <c r="C17" s="267"/>
    </row>
    <row r="18" spans="1:5" ht="15.75" customHeight="1" thickBot="1" x14ac:dyDescent="0.4">
      <c r="A18" s="184" t="s">
        <v>156</v>
      </c>
      <c r="B18" s="268"/>
      <c r="C18" s="269"/>
    </row>
    <row r="19" spans="1:5" ht="15.75" customHeight="1" thickBot="1" x14ac:dyDescent="0.4">
      <c r="A19" s="247" t="s">
        <v>14</v>
      </c>
      <c r="B19" s="248"/>
      <c r="C19" s="249"/>
    </row>
    <row r="20" spans="1:5" ht="15" thickBot="1" x14ac:dyDescent="0.4">
      <c r="A20" s="183" t="s">
        <v>15</v>
      </c>
      <c r="B20" s="245" t="s">
        <v>72</v>
      </c>
      <c r="C20" s="246"/>
    </row>
    <row r="21" spans="1:5" ht="15" thickBot="1" x14ac:dyDescent="0.4">
      <c r="A21" s="183" t="s">
        <v>16</v>
      </c>
      <c r="B21" s="258">
        <f>'графік із підвищеною %'!F7</f>
        <v>500000</v>
      </c>
      <c r="C21" s="259"/>
    </row>
    <row r="22" spans="1:5" ht="15" thickBot="1" x14ac:dyDescent="0.4">
      <c r="A22" s="183" t="s">
        <v>150</v>
      </c>
      <c r="B22" s="245" t="str">
        <f>CONCATENATE(E22,D22)</f>
        <v>60 міс.</v>
      </c>
      <c r="C22" s="246"/>
      <c r="D22" s="76" t="s">
        <v>157</v>
      </c>
      <c r="E22" s="76">
        <f>'графік із підвищеною %'!F8</f>
        <v>60</v>
      </c>
    </row>
    <row r="23" spans="1:5" ht="15" thickBot="1" x14ac:dyDescent="0.4">
      <c r="A23" s="192" t="s">
        <v>17</v>
      </c>
      <c r="B23" s="237" t="s">
        <v>109</v>
      </c>
      <c r="C23" s="238"/>
    </row>
    <row r="24" spans="1:5" ht="13.5" customHeight="1" thickBot="1" x14ac:dyDescent="0.4">
      <c r="A24" s="196" t="s">
        <v>18</v>
      </c>
      <c r="B24" s="250" t="s">
        <v>110</v>
      </c>
      <c r="C24" s="246"/>
    </row>
    <row r="25" spans="1:5" ht="15" thickBot="1" x14ac:dyDescent="0.4">
      <c r="A25" s="186" t="s">
        <v>19</v>
      </c>
      <c r="B25" s="245" t="s">
        <v>124</v>
      </c>
      <c r="C25" s="246"/>
    </row>
    <row r="26" spans="1:5" ht="15" thickBot="1" x14ac:dyDescent="0.4">
      <c r="A26" s="186" t="s">
        <v>20</v>
      </c>
      <c r="B26" s="245" t="s">
        <v>21</v>
      </c>
      <c r="C26" s="246"/>
    </row>
    <row r="27" spans="1:5" ht="20.25" customHeight="1" x14ac:dyDescent="0.35">
      <c r="A27" s="282" t="s">
        <v>22</v>
      </c>
      <c r="B27" s="237" t="s">
        <v>111</v>
      </c>
      <c r="C27" s="238"/>
    </row>
    <row r="28" spans="1:5" ht="15" thickBot="1" x14ac:dyDescent="0.4">
      <c r="A28" s="283"/>
      <c r="B28" s="239"/>
      <c r="C28" s="240"/>
    </row>
    <row r="29" spans="1:5" ht="19.5" customHeight="1" thickBot="1" x14ac:dyDescent="0.4">
      <c r="A29" s="247" t="s">
        <v>152</v>
      </c>
      <c r="B29" s="248"/>
      <c r="C29" s="249"/>
    </row>
    <row r="30" spans="1:5" ht="19.5" customHeight="1" thickBot="1" x14ac:dyDescent="0.4">
      <c r="A30" s="187" t="s">
        <v>539</v>
      </c>
      <c r="B30" s="262">
        <v>0</v>
      </c>
      <c r="C30" s="263"/>
    </row>
    <row r="31" spans="1:5" ht="19.5" customHeight="1" thickBot="1" x14ac:dyDescent="0.4">
      <c r="A31" s="187" t="s">
        <v>23</v>
      </c>
      <c r="B31" s="256">
        <f>'графік із підвищеною %'!F9</f>
        <v>0.2999</v>
      </c>
      <c r="C31" s="257"/>
    </row>
    <row r="32" spans="1:5" ht="15" thickBot="1" x14ac:dyDescent="0.4">
      <c r="A32" s="186" t="s">
        <v>24</v>
      </c>
      <c r="B32" s="239" t="s">
        <v>122</v>
      </c>
      <c r="C32" s="240"/>
    </row>
    <row r="33" spans="1:3" ht="21" customHeight="1" thickBot="1" x14ac:dyDescent="0.4">
      <c r="A33" s="186" t="s">
        <v>25</v>
      </c>
      <c r="B33" s="245" t="s">
        <v>158</v>
      </c>
      <c r="C33" s="246"/>
    </row>
    <row r="34" spans="1:3" ht="23.5" thickBot="1" x14ac:dyDescent="0.4">
      <c r="A34" s="186" t="s">
        <v>26</v>
      </c>
      <c r="B34" s="245" t="s">
        <v>27</v>
      </c>
      <c r="C34" s="246"/>
    </row>
    <row r="35" spans="1:3" ht="15" thickBot="1" x14ac:dyDescent="0.4">
      <c r="A35" s="186" t="s">
        <v>105</v>
      </c>
      <c r="B35" s="256">
        <f>'графік із підвищеною %'!P7</f>
        <v>0.01</v>
      </c>
      <c r="C35" s="257"/>
    </row>
    <row r="36" spans="1:3" ht="15" thickBot="1" x14ac:dyDescent="0.4">
      <c r="A36" s="186" t="s">
        <v>28</v>
      </c>
      <c r="B36" s="321" t="s">
        <v>21</v>
      </c>
      <c r="C36" s="246"/>
    </row>
    <row r="37" spans="1:3" ht="15" thickBot="1" x14ac:dyDescent="0.4">
      <c r="A37" s="188" t="s">
        <v>127</v>
      </c>
      <c r="B37" s="258">
        <f>'графік із підвищеною %'!N28</f>
        <v>0</v>
      </c>
      <c r="C37" s="259"/>
    </row>
    <row r="38" spans="1:3" ht="26.25" customHeight="1" thickBot="1" x14ac:dyDescent="0.4">
      <c r="A38" s="187" t="s">
        <v>29</v>
      </c>
      <c r="B38" s="258" t="s">
        <v>21</v>
      </c>
      <c r="C38" s="246"/>
    </row>
    <row r="39" spans="1:3" ht="15" hidden="1" thickBot="1" x14ac:dyDescent="0.4">
      <c r="A39" s="186"/>
      <c r="B39" s="189"/>
    </row>
    <row r="40" spans="1:3" ht="23.5" thickBot="1" x14ac:dyDescent="0.4">
      <c r="A40" s="190" t="s">
        <v>159</v>
      </c>
      <c r="B40" s="260" t="s">
        <v>160</v>
      </c>
      <c r="C40" s="261"/>
    </row>
    <row r="41" spans="1:3" ht="23.5" thickBot="1" x14ac:dyDescent="0.4">
      <c r="A41" s="190" t="s">
        <v>161</v>
      </c>
      <c r="B41" s="260" t="s">
        <v>162</v>
      </c>
      <c r="C41" s="261"/>
    </row>
    <row r="42" spans="1:3" ht="15" thickBot="1" x14ac:dyDescent="0.4">
      <c r="A42" s="186" t="s">
        <v>30</v>
      </c>
      <c r="B42" s="258">
        <f ca="1">B43-B21</f>
        <v>391773.19333333336</v>
      </c>
      <c r="C42" s="259"/>
    </row>
    <row r="43" spans="1:3" ht="35" thickBot="1" x14ac:dyDescent="0.4">
      <c r="A43" s="186" t="s">
        <v>31</v>
      </c>
      <c r="B43" s="258">
        <f ca="1">SUM('дод 1 до дог кред'!Q146:Q230)</f>
        <v>891773.19333333336</v>
      </c>
      <c r="C43" s="259"/>
    </row>
    <row r="44" spans="1:3" ht="15" thickBot="1" x14ac:dyDescent="0.4">
      <c r="A44" s="188" t="s">
        <v>32</v>
      </c>
      <c r="B44" s="251">
        <f ca="1">SUM('графік із підвищеною %'!Q29:Q113)</f>
        <v>0.35644267201423652</v>
      </c>
      <c r="C44" s="252"/>
    </row>
    <row r="45" spans="1:3" ht="48" customHeight="1" thickBot="1" x14ac:dyDescent="0.4">
      <c r="A45" s="253" t="s">
        <v>33</v>
      </c>
      <c r="B45" s="254"/>
      <c r="C45" s="255"/>
    </row>
    <row r="46" spans="1:3" ht="24" customHeight="1" thickBot="1" x14ac:dyDescent="0.4">
      <c r="A46" s="253" t="s">
        <v>34</v>
      </c>
      <c r="B46" s="254"/>
      <c r="C46" s="255"/>
    </row>
    <row r="47" spans="1:3" ht="24" customHeight="1" thickBot="1" x14ac:dyDescent="0.4">
      <c r="A47" s="253" t="s">
        <v>35</v>
      </c>
      <c r="B47" s="254"/>
      <c r="C47" s="255"/>
    </row>
    <row r="48" spans="1:3" ht="24" customHeight="1" thickBot="1" x14ac:dyDescent="0.4">
      <c r="A48" s="191" t="s">
        <v>128</v>
      </c>
      <c r="B48" s="245" t="s">
        <v>27</v>
      </c>
      <c r="C48" s="246"/>
    </row>
    <row r="49" spans="1:5" ht="24" customHeight="1" thickBot="1" x14ac:dyDescent="0.4">
      <c r="A49" s="187" t="s">
        <v>129</v>
      </c>
      <c r="B49" s="258" t="str">
        <f>IF(D49=0,E49,CONCATENATE(E49,D49))</f>
        <v>ні</v>
      </c>
      <c r="C49" s="259"/>
      <c r="D49" s="174">
        <f>'графік із підвищеною %'!I28</f>
        <v>0</v>
      </c>
      <c r="E49" s="76" t="str">
        <f>IF(D49&gt;0,"так, ","ні")</f>
        <v>ні</v>
      </c>
    </row>
    <row r="50" spans="1:5" ht="24" customHeight="1" thickBot="1" x14ac:dyDescent="0.4">
      <c r="A50" s="187" t="s">
        <v>130</v>
      </c>
      <c r="B50" s="258" t="str">
        <f t="shared" ref="B50:B52" si="0">IF(D50=0,E50,CONCATENATE(E50,D50))</f>
        <v>ні</v>
      </c>
      <c r="C50" s="259"/>
      <c r="D50" s="174">
        <f>'графік із підвищеною %'!J28</f>
        <v>0</v>
      </c>
      <c r="E50" s="76" t="str">
        <f>IF(D50&gt;0,"так, ","ні")</f>
        <v>ні</v>
      </c>
    </row>
    <row r="51" spans="1:5" ht="24" customHeight="1" thickBot="1" x14ac:dyDescent="0.4">
      <c r="A51" s="187" t="s">
        <v>131</v>
      </c>
      <c r="B51" s="258" t="str">
        <f t="shared" si="0"/>
        <v>так, 29950</v>
      </c>
      <c r="C51" s="259"/>
      <c r="D51" s="174">
        <f>'графік із підвищеною %'!Q14+'графік із підвищеною %'!Q15</f>
        <v>29950</v>
      </c>
      <c r="E51" s="76" t="str">
        <f>IF(D51&gt;0,"так, ","ні")</f>
        <v xml:space="preserve">так, </v>
      </c>
    </row>
    <row r="52" spans="1:5" ht="24" customHeight="1" thickBot="1" x14ac:dyDescent="0.4">
      <c r="A52" s="187" t="s">
        <v>132</v>
      </c>
      <c r="B52" s="258" t="str">
        <f t="shared" si="0"/>
        <v>ні</v>
      </c>
      <c r="C52" s="259"/>
      <c r="D52" s="174">
        <f>'графік із підвищеною %'!L28</f>
        <v>0</v>
      </c>
      <c r="E52" s="76" t="str">
        <f>IF(D52&gt;0,"так, ","ні")</f>
        <v>ні</v>
      </c>
    </row>
    <row r="53" spans="1:5" ht="15" thickBot="1" x14ac:dyDescent="0.4">
      <c r="A53" s="247" t="s">
        <v>36</v>
      </c>
      <c r="B53" s="248"/>
      <c r="C53" s="249"/>
    </row>
    <row r="54" spans="1:5" ht="60.75" customHeight="1" thickBot="1" x14ac:dyDescent="0.4">
      <c r="A54" s="187" t="s">
        <v>37</v>
      </c>
      <c r="B54" s="245" t="s">
        <v>151</v>
      </c>
      <c r="C54" s="246"/>
    </row>
    <row r="55" spans="1:5" ht="15" thickBot="1" x14ac:dyDescent="0.4">
      <c r="A55" s="247" t="s">
        <v>38</v>
      </c>
      <c r="B55" s="248"/>
      <c r="C55" s="249"/>
    </row>
    <row r="56" spans="1:5" ht="23.5" thickBot="1" x14ac:dyDescent="0.4">
      <c r="A56" s="186" t="s">
        <v>40</v>
      </c>
      <c r="B56" s="245" t="s">
        <v>163</v>
      </c>
      <c r="C56" s="246"/>
    </row>
    <row r="57" spans="1:5" ht="15" thickBot="1" x14ac:dyDescent="0.4">
      <c r="A57" s="186" t="s">
        <v>41</v>
      </c>
      <c r="B57" s="245" t="s">
        <v>42</v>
      </c>
      <c r="C57" s="246"/>
    </row>
    <row r="58" spans="1:5" ht="15" thickBot="1" x14ac:dyDescent="0.4">
      <c r="A58" s="190" t="s">
        <v>164</v>
      </c>
      <c r="B58" s="260" t="s">
        <v>21</v>
      </c>
      <c r="C58" s="261"/>
    </row>
    <row r="59" spans="1:5" ht="23.5" thickBot="1" x14ac:dyDescent="0.4">
      <c r="A59" s="186" t="s">
        <v>125</v>
      </c>
      <c r="B59" s="245" t="s">
        <v>76</v>
      </c>
      <c r="C59" s="246"/>
    </row>
    <row r="60" spans="1:5" ht="15" thickBot="1" x14ac:dyDescent="0.4">
      <c r="A60" s="188" t="s">
        <v>43</v>
      </c>
      <c r="B60" s="245" t="s">
        <v>21</v>
      </c>
      <c r="C60" s="246"/>
    </row>
    <row r="61" spans="1:5" ht="15" thickBot="1" x14ac:dyDescent="0.4">
      <c r="A61" s="247" t="s">
        <v>44</v>
      </c>
      <c r="B61" s="248"/>
      <c r="C61" s="249"/>
    </row>
    <row r="62" spans="1:5" ht="36" customHeight="1" thickBot="1" x14ac:dyDescent="0.4">
      <c r="A62" s="253" t="s">
        <v>45</v>
      </c>
      <c r="B62" s="254"/>
      <c r="C62" s="255"/>
    </row>
    <row r="63" spans="1:5" ht="46.5" thickBot="1" x14ac:dyDescent="0.4">
      <c r="A63" s="187" t="s">
        <v>46</v>
      </c>
      <c r="B63" s="245" t="s">
        <v>121</v>
      </c>
      <c r="C63" s="246"/>
    </row>
    <row r="64" spans="1:5" ht="36" customHeight="1" thickBot="1" x14ac:dyDescent="0.4">
      <c r="A64" s="245" t="s">
        <v>47</v>
      </c>
      <c r="B64" s="250"/>
      <c r="C64" s="246"/>
    </row>
    <row r="65" spans="1:3" ht="36" customHeight="1" thickBot="1" x14ac:dyDescent="0.4">
      <c r="A65" s="245" t="s">
        <v>48</v>
      </c>
      <c r="B65" s="250"/>
      <c r="C65" s="246"/>
    </row>
    <row r="66" spans="1:3" ht="15" customHeight="1" x14ac:dyDescent="0.35">
      <c r="A66" s="287" t="str">
        <f ca="1">паспорт!A70</f>
        <v>Дата надання інформації: 01.02.2021</v>
      </c>
      <c r="B66" s="237" t="str">
        <f ca="1">паспорт!B70</f>
        <v>Ця інформація зберігає чинність та є актуальною до 31.01.2026</v>
      </c>
      <c r="C66" s="238"/>
    </row>
    <row r="67" spans="1:3" ht="15" thickBot="1" x14ac:dyDescent="0.4">
      <c r="A67" s="288"/>
      <c r="B67" s="239"/>
      <c r="C67" s="240"/>
    </row>
    <row r="68" spans="1:3" x14ac:dyDescent="0.35">
      <c r="A68" s="192"/>
      <c r="B68" s="237" t="s">
        <v>50</v>
      </c>
      <c r="C68" s="238"/>
    </row>
    <row r="69" spans="1:3" ht="15" thickBot="1" x14ac:dyDescent="0.4">
      <c r="A69" s="193" t="s">
        <v>49</v>
      </c>
      <c r="B69" s="239"/>
      <c r="C69" s="240"/>
    </row>
    <row r="70" spans="1:3" ht="24" customHeight="1" thickBot="1" x14ac:dyDescent="0.4">
      <c r="A70" s="253" t="s">
        <v>51</v>
      </c>
      <c r="B70" s="254"/>
      <c r="C70" s="255"/>
    </row>
    <row r="71" spans="1:3" ht="48" customHeight="1" thickBot="1" x14ac:dyDescent="0.4">
      <c r="A71" s="253" t="s">
        <v>52</v>
      </c>
      <c r="B71" s="254"/>
      <c r="C71" s="255"/>
    </row>
    <row r="72" spans="1:3" x14ac:dyDescent="0.35">
      <c r="A72" s="194"/>
      <c r="B72" s="237" t="s">
        <v>54</v>
      </c>
      <c r="C72" s="238"/>
    </row>
    <row r="73" spans="1:3" ht="15" thickBot="1" x14ac:dyDescent="0.4">
      <c r="A73" s="193" t="s">
        <v>53</v>
      </c>
      <c r="B73" s="239"/>
      <c r="C73" s="240"/>
    </row>
    <row r="74" spans="1:3" x14ac:dyDescent="0.35">
      <c r="A74" s="195"/>
    </row>
  </sheetData>
  <mergeCells count="69">
    <mergeCell ref="B30:C30"/>
    <mergeCell ref="B31:C31"/>
    <mergeCell ref="B12:C12"/>
    <mergeCell ref="A1:C1"/>
    <mergeCell ref="A2:A4"/>
    <mergeCell ref="B2:C2"/>
    <mergeCell ref="B3:C3"/>
    <mergeCell ref="B4:C4"/>
    <mergeCell ref="A5:A7"/>
    <mergeCell ref="B5:C5"/>
    <mergeCell ref="B6:C6"/>
    <mergeCell ref="B7:C7"/>
    <mergeCell ref="A8:A9"/>
    <mergeCell ref="B8:C8"/>
    <mergeCell ref="B9:C9"/>
    <mergeCell ref="B10:C10"/>
    <mergeCell ref="B11:C11"/>
    <mergeCell ref="A29:C29"/>
    <mergeCell ref="A13:C13"/>
    <mergeCell ref="A19:C19"/>
    <mergeCell ref="B20:C20"/>
    <mergeCell ref="B21:C21"/>
    <mergeCell ref="B22:C22"/>
    <mergeCell ref="B23:C23"/>
    <mergeCell ref="B24:C24"/>
    <mergeCell ref="B25:C25"/>
    <mergeCell ref="B26:C26"/>
    <mergeCell ref="A27:A28"/>
    <mergeCell ref="B27:C28"/>
    <mergeCell ref="B14:C18"/>
    <mergeCell ref="A47:C47"/>
    <mergeCell ref="B32:C32"/>
    <mergeCell ref="B33:C33"/>
    <mergeCell ref="B34:C34"/>
    <mergeCell ref="B35:C35"/>
    <mergeCell ref="B36:C36"/>
    <mergeCell ref="B38:C38"/>
    <mergeCell ref="B42:C42"/>
    <mergeCell ref="B43:C43"/>
    <mergeCell ref="B44:C44"/>
    <mergeCell ref="A45:C45"/>
    <mergeCell ref="A46:C46"/>
    <mergeCell ref="B37:C37"/>
    <mergeCell ref="B40:C40"/>
    <mergeCell ref="B41:C41"/>
    <mergeCell ref="A61:C61"/>
    <mergeCell ref="A53:C53"/>
    <mergeCell ref="B54:C54"/>
    <mergeCell ref="A55:C55"/>
    <mergeCell ref="B56:C56"/>
    <mergeCell ref="B57:C57"/>
    <mergeCell ref="B59:C59"/>
    <mergeCell ref="B60:C60"/>
    <mergeCell ref="B58:C58"/>
    <mergeCell ref="B68:C69"/>
    <mergeCell ref="A70:C70"/>
    <mergeCell ref="A71:C71"/>
    <mergeCell ref="B72:C73"/>
    <mergeCell ref="A62:C62"/>
    <mergeCell ref="B63:C63"/>
    <mergeCell ref="A64:C64"/>
    <mergeCell ref="A65:C65"/>
    <mergeCell ref="A66:A67"/>
    <mergeCell ref="B66:C67"/>
    <mergeCell ref="B48:C48"/>
    <mergeCell ref="B49:C49"/>
    <mergeCell ref="B50:C50"/>
    <mergeCell ref="B51:C51"/>
    <mergeCell ref="B52:C52"/>
  </mergeCells>
  <hyperlinks>
    <hyperlink ref="B11" r:id="rId1" display="mailto:bank@pravex.kiev.ua"/>
  </hyperlinks>
  <pageMargins left="0.7" right="0.7" top="0.75" bottom="0.75" header="0.3" footer="0.3"/>
  <pageSetup paperSize="9" scale="76"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F215"/>
  <sheetViews>
    <sheetView topLeftCell="A8" zoomScale="80" zoomScaleNormal="80" workbookViewId="0">
      <selection activeCell="G31" sqref="G31"/>
    </sheetView>
  </sheetViews>
  <sheetFormatPr defaultColWidth="9.1796875" defaultRowHeight="14.5" x14ac:dyDescent="0.35"/>
  <cols>
    <col min="1" max="1" width="4.26953125" style="5" customWidth="1"/>
    <col min="2" max="2" width="24.81640625" style="5" hidden="1" customWidth="1"/>
    <col min="3" max="3" width="18.81640625" style="5" customWidth="1"/>
    <col min="4" max="4" width="12" style="5" customWidth="1"/>
    <col min="5" max="5" width="15.81640625" style="5" hidden="1" customWidth="1"/>
    <col min="6" max="6" width="14.7265625" style="5" customWidth="1"/>
    <col min="7" max="7" width="15.54296875" style="5" customWidth="1"/>
    <col min="8" max="8" width="21.36328125" style="5" customWidth="1"/>
    <col min="9" max="9" width="14.54296875" style="5" customWidth="1"/>
    <col min="10" max="10" width="16.453125" style="5" customWidth="1"/>
    <col min="11" max="11" width="16" style="5" customWidth="1"/>
    <col min="12" max="12" width="16.1796875" style="5" customWidth="1"/>
    <col min="13" max="13" width="13.54296875" style="5" customWidth="1"/>
    <col min="14" max="14" width="15" style="5" customWidth="1"/>
    <col min="15" max="15" width="11.54296875" style="5" customWidth="1"/>
    <col min="16" max="16" width="15.81640625" style="5" customWidth="1"/>
    <col min="17" max="17" width="12.26953125" style="5" customWidth="1"/>
    <col min="18" max="18" width="12" style="5" customWidth="1"/>
    <col min="19" max="19" width="12" style="5" hidden="1" customWidth="1"/>
    <col min="20" max="22" width="9.1796875" style="5" hidden="1" customWidth="1"/>
    <col min="23" max="23" width="10.81640625" style="5" hidden="1" customWidth="1"/>
    <col min="24" max="24" width="9.1796875" style="5" hidden="1" customWidth="1"/>
    <col min="25" max="25" width="0" style="5" hidden="1" customWidth="1"/>
    <col min="26" max="27" width="9.1796875" style="5" hidden="1" customWidth="1"/>
    <col min="28" max="28" width="20.54296875" style="5" hidden="1" customWidth="1"/>
    <col min="29" max="30" width="9.1796875" style="5" hidden="1" customWidth="1"/>
    <col min="31" max="32" width="0" style="5" hidden="1" customWidth="1"/>
    <col min="33" max="16384" width="9.1796875" style="5"/>
  </cols>
  <sheetData>
    <row r="1" spans="1:32" x14ac:dyDescent="0.35">
      <c r="A1" s="315" t="s">
        <v>104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211"/>
    </row>
    <row r="2" spans="1:32" x14ac:dyDescent="0.35">
      <c r="A2" s="8"/>
      <c r="B2" s="8"/>
      <c r="C2" s="10"/>
      <c r="D2" s="8"/>
      <c r="E2" s="8"/>
      <c r="F2" s="10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32" x14ac:dyDescent="0.35">
      <c r="A3" s="8"/>
      <c r="B3" s="7" t="s">
        <v>55</v>
      </c>
      <c r="C3" s="155" t="s">
        <v>55</v>
      </c>
      <c r="D3" s="156">
        <f ca="1">F3</f>
        <v>44228</v>
      </c>
      <c r="E3" s="73"/>
      <c r="F3" s="181">
        <f ca="1">графік!F3</f>
        <v>44228</v>
      </c>
      <c r="G3" s="9"/>
      <c r="H3" s="317"/>
      <c r="I3" s="317"/>
      <c r="J3" s="317"/>
      <c r="K3" s="317"/>
      <c r="L3" s="317"/>
      <c r="M3" s="317"/>
      <c r="N3" s="133"/>
      <c r="O3" s="133"/>
      <c r="P3" s="128"/>
      <c r="Q3" s="78"/>
      <c r="R3" s="8"/>
      <c r="S3" s="8"/>
    </row>
    <row r="4" spans="1:32" hidden="1" x14ac:dyDescent="0.35">
      <c r="A4" s="8"/>
      <c r="B4" s="7" t="s">
        <v>60</v>
      </c>
      <c r="C4" s="157" t="s">
        <v>60</v>
      </c>
      <c r="D4" s="89">
        <f t="shared" ref="D4:D9" si="0">F4</f>
        <v>1000000</v>
      </c>
      <c r="E4" s="73"/>
      <c r="F4" s="158">
        <v>1000000</v>
      </c>
      <c r="G4" s="10"/>
      <c r="H4" s="318"/>
      <c r="I4" s="318"/>
      <c r="J4" s="318"/>
      <c r="K4" s="318"/>
      <c r="L4" s="318"/>
      <c r="M4" s="318"/>
      <c r="N4" s="134"/>
      <c r="O4" s="134"/>
      <c r="P4" s="129"/>
      <c r="Q4" s="79"/>
      <c r="R4" s="8"/>
      <c r="S4" s="8"/>
    </row>
    <row r="5" spans="1:32" hidden="1" x14ac:dyDescent="0.35">
      <c r="A5" s="8"/>
      <c r="B5" s="7" t="s">
        <v>59</v>
      </c>
      <c r="C5" s="159" t="s">
        <v>59</v>
      </c>
      <c r="D5" s="74">
        <f t="shared" si="0"/>
        <v>500000</v>
      </c>
      <c r="E5" s="73"/>
      <c r="F5" s="160">
        <v>500000</v>
      </c>
      <c r="G5" s="11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8"/>
      <c r="S5" s="8"/>
    </row>
    <row r="6" spans="1:32" hidden="1" x14ac:dyDescent="0.35">
      <c r="A6" s="8"/>
      <c r="B6" s="7" t="s">
        <v>61</v>
      </c>
      <c r="C6" s="161" t="s">
        <v>61</v>
      </c>
      <c r="D6" s="88">
        <f t="shared" si="0"/>
        <v>0.5</v>
      </c>
      <c r="E6" s="95"/>
      <c r="F6" s="162">
        <f>F5/F4</f>
        <v>0.5</v>
      </c>
      <c r="G6" s="12"/>
      <c r="H6" s="318"/>
      <c r="I6" s="318"/>
      <c r="J6" s="318"/>
      <c r="K6" s="318"/>
      <c r="L6" s="318"/>
      <c r="M6" s="318"/>
      <c r="N6" s="134"/>
      <c r="O6" s="134"/>
      <c r="P6" s="129"/>
      <c r="Q6" s="72"/>
      <c r="R6" s="8"/>
      <c r="S6" s="8"/>
    </row>
    <row r="7" spans="1:32" x14ac:dyDescent="0.35">
      <c r="A7" s="8"/>
      <c r="B7" s="7" t="s">
        <v>58</v>
      </c>
      <c r="C7" s="163" t="s">
        <v>58</v>
      </c>
      <c r="D7" s="90">
        <f t="shared" si="0"/>
        <v>500000</v>
      </c>
      <c r="E7" s="97"/>
      <c r="F7" s="167">
        <v>500000</v>
      </c>
      <c r="G7" s="12"/>
      <c r="H7" s="146" t="s">
        <v>118</v>
      </c>
      <c r="I7" s="147"/>
      <c r="J7" s="147"/>
      <c r="K7" s="147"/>
      <c r="L7" s="147"/>
      <c r="M7" s="147"/>
      <c r="N7" s="147"/>
      <c r="O7" s="147"/>
      <c r="P7" s="332">
        <v>0.01</v>
      </c>
      <c r="Q7" s="333"/>
      <c r="R7" s="170"/>
      <c r="S7" s="170"/>
      <c r="T7" s="171"/>
      <c r="U7" s="171"/>
      <c r="V7" s="171"/>
      <c r="W7" s="171"/>
      <c r="X7" s="171"/>
      <c r="Y7" s="171"/>
      <c r="AB7" s="5" t="s">
        <v>115</v>
      </c>
      <c r="AE7" s="5">
        <v>1</v>
      </c>
      <c r="AF7" s="216">
        <v>2181</v>
      </c>
    </row>
    <row r="8" spans="1:32" x14ac:dyDescent="0.35">
      <c r="A8" s="8"/>
      <c r="B8" s="7" t="s">
        <v>57</v>
      </c>
      <c r="C8" s="164" t="s">
        <v>57</v>
      </c>
      <c r="D8" s="91">
        <f t="shared" si="0"/>
        <v>60</v>
      </c>
      <c r="E8" s="96"/>
      <c r="F8" s="168">
        <v>60</v>
      </c>
      <c r="G8" s="12"/>
      <c r="H8" s="148" t="s">
        <v>71</v>
      </c>
      <c r="I8" s="149"/>
      <c r="J8" s="149"/>
      <c r="K8" s="149"/>
      <c r="L8" s="149"/>
      <c r="M8" s="149"/>
      <c r="N8" s="149"/>
      <c r="O8" s="149"/>
      <c r="P8" s="297">
        <f>P7*F7</f>
        <v>5000</v>
      </c>
      <c r="Q8" s="298"/>
      <c r="R8" s="172"/>
      <c r="S8" s="172"/>
      <c r="T8" s="171"/>
      <c r="U8" s="171" t="s">
        <v>102</v>
      </c>
      <c r="V8" s="171"/>
      <c r="W8" s="171"/>
      <c r="X8" s="171"/>
      <c r="Y8" s="173">
        <f>P8</f>
        <v>5000</v>
      </c>
      <c r="AB8" s="8" t="s">
        <v>116</v>
      </c>
      <c r="AC8" s="5" t="s">
        <v>77</v>
      </c>
      <c r="AD8" s="5">
        <v>1700</v>
      </c>
      <c r="AE8" s="217">
        <v>2</v>
      </c>
      <c r="AF8" s="218">
        <f>IF($F$8&gt;12,$P$17,0)</f>
        <v>2181</v>
      </c>
    </row>
    <row r="9" spans="1:32" x14ac:dyDescent="0.35">
      <c r="A9" s="8"/>
      <c r="B9" s="7" t="s">
        <v>56</v>
      </c>
      <c r="C9" s="165" t="s">
        <v>56</v>
      </c>
      <c r="D9" s="166">
        <f t="shared" si="0"/>
        <v>0.2999</v>
      </c>
      <c r="E9" s="73"/>
      <c r="F9" s="169">
        <v>0.2999</v>
      </c>
      <c r="G9" s="18">
        <f>F21+F22</f>
        <v>0.1888</v>
      </c>
      <c r="H9" s="150" t="s">
        <v>123</v>
      </c>
      <c r="I9" s="151"/>
      <c r="J9" s="151"/>
      <c r="K9" s="151"/>
      <c r="L9" s="151"/>
      <c r="M9" s="151"/>
      <c r="N9" s="151"/>
      <c r="O9" s="151"/>
      <c r="P9" s="334">
        <v>0</v>
      </c>
      <c r="Q9" s="335"/>
      <c r="R9" s="174">
        <f>P9</f>
        <v>0</v>
      </c>
      <c r="S9" s="174"/>
      <c r="T9" s="171"/>
      <c r="U9" s="171" t="s">
        <v>103</v>
      </c>
      <c r="V9" s="171"/>
      <c r="W9" s="171"/>
      <c r="X9" s="171"/>
      <c r="Y9" s="171"/>
      <c r="AE9" s="217">
        <v>3</v>
      </c>
      <c r="AF9" s="218">
        <f>IF($F$8&gt;24,$P$17,0)</f>
        <v>2181</v>
      </c>
    </row>
    <row r="10" spans="1:32" x14ac:dyDescent="0.35">
      <c r="A10" s="8"/>
      <c r="B10" s="7"/>
      <c r="C10" s="159" t="s">
        <v>538</v>
      </c>
      <c r="D10" s="231"/>
      <c r="E10" s="73"/>
      <c r="F10" s="232">
        <v>0</v>
      </c>
      <c r="G10" s="18"/>
      <c r="H10" s="292" t="s">
        <v>139</v>
      </c>
      <c r="I10" s="293"/>
      <c r="J10" s="293"/>
      <c r="K10" s="293"/>
      <c r="L10" s="293"/>
      <c r="M10" s="294"/>
      <c r="N10" s="141"/>
      <c r="O10" s="141"/>
      <c r="P10" s="322">
        <v>0</v>
      </c>
      <c r="Q10" s="323"/>
      <c r="R10" s="76"/>
      <c r="S10" s="76"/>
      <c r="T10" s="171"/>
      <c r="U10" s="171"/>
      <c r="V10" s="171"/>
      <c r="W10" s="171"/>
      <c r="X10" s="171"/>
      <c r="Y10" s="171"/>
      <c r="AE10" s="217">
        <v>4</v>
      </c>
      <c r="AF10" s="218">
        <f>IF($F$8&gt;36,$P$17,0)</f>
        <v>2181</v>
      </c>
    </row>
    <row r="11" spans="1:32" x14ac:dyDescent="0.35">
      <c r="A11" s="8"/>
      <c r="B11" s="7"/>
      <c r="C11" s="153"/>
      <c r="D11" s="135"/>
      <c r="E11" s="10"/>
      <c r="F11" s="154"/>
      <c r="G11" s="18"/>
      <c r="H11" s="292" t="s">
        <v>140</v>
      </c>
      <c r="I11" s="293"/>
      <c r="J11" s="293"/>
      <c r="K11" s="293"/>
      <c r="L11" s="293"/>
      <c r="M11" s="294"/>
      <c r="N11" s="141"/>
      <c r="O11" s="141"/>
      <c r="P11" s="324">
        <f>F7*P10</f>
        <v>0</v>
      </c>
      <c r="Q11" s="325"/>
      <c r="R11" s="174">
        <f>P11</f>
        <v>0</v>
      </c>
      <c r="S11" s="174"/>
      <c r="T11" s="171"/>
      <c r="U11" s="171"/>
      <c r="V11" s="171"/>
      <c r="W11" s="171"/>
      <c r="X11" s="171"/>
      <c r="Y11" s="171"/>
      <c r="AE11" s="217">
        <v>5</v>
      </c>
      <c r="AF11" s="218">
        <f>IF($F$8&gt;48,$P$17,0)</f>
        <v>2181</v>
      </c>
    </row>
    <row r="12" spans="1:32" x14ac:dyDescent="0.35">
      <c r="A12" s="8"/>
      <c r="B12" s="7"/>
      <c r="C12" s="153"/>
      <c r="D12" s="135"/>
      <c r="E12" s="10"/>
      <c r="F12" s="154"/>
      <c r="G12" s="18"/>
      <c r="H12" s="299" t="s">
        <v>133</v>
      </c>
      <c r="I12" s="142" t="s">
        <v>141</v>
      </c>
      <c r="J12" s="143"/>
      <c r="K12" s="143"/>
      <c r="L12" s="143"/>
      <c r="M12" s="144"/>
      <c r="N12" s="141"/>
      <c r="O12" s="141"/>
      <c r="P12" s="327">
        <v>0</v>
      </c>
      <c r="Q12" s="328"/>
      <c r="R12" s="174">
        <f>P12</f>
        <v>0</v>
      </c>
      <c r="S12" s="174"/>
      <c r="T12" s="171"/>
      <c r="U12" s="171"/>
      <c r="V12" s="171"/>
      <c r="W12" s="171"/>
      <c r="X12" s="171"/>
      <c r="Y12" s="171"/>
      <c r="AF12" s="216">
        <f>SUM(AF7:AF11)</f>
        <v>10905</v>
      </c>
    </row>
    <row r="13" spans="1:32" x14ac:dyDescent="0.35">
      <c r="A13" s="8"/>
      <c r="B13" s="7"/>
      <c r="C13" s="153"/>
      <c r="D13" s="135"/>
      <c r="E13" s="10"/>
      <c r="F13" s="154"/>
      <c r="G13" s="18"/>
      <c r="H13" s="300"/>
      <c r="I13" s="145" t="s">
        <v>142</v>
      </c>
      <c r="J13" s="143"/>
      <c r="K13" s="143"/>
      <c r="L13" s="143"/>
      <c r="M13" s="144"/>
      <c r="N13" s="141"/>
      <c r="O13" s="141"/>
      <c r="P13" s="327">
        <v>0</v>
      </c>
      <c r="Q13" s="328"/>
      <c r="R13" s="174">
        <f>P13</f>
        <v>0</v>
      </c>
      <c r="S13" s="174"/>
      <c r="T13" s="171"/>
      <c r="U13" s="171"/>
      <c r="V13" s="171"/>
      <c r="W13" s="171"/>
      <c r="X13" s="171"/>
      <c r="Y13" s="171"/>
    </row>
    <row r="14" spans="1:32" x14ac:dyDescent="0.35">
      <c r="A14" s="8"/>
      <c r="B14" s="7"/>
      <c r="C14" s="153"/>
      <c r="D14" s="135"/>
      <c r="E14" s="10"/>
      <c r="F14" s="154"/>
      <c r="G14" s="18"/>
      <c r="H14" s="300"/>
      <c r="I14" s="145" t="s">
        <v>143</v>
      </c>
      <c r="J14" s="143"/>
      <c r="K14" s="143"/>
      <c r="L14" s="143"/>
      <c r="M14" s="144"/>
      <c r="N14" s="303" t="s">
        <v>144</v>
      </c>
      <c r="O14" s="304"/>
      <c r="P14" s="152">
        <v>5.9900000000000002E-2</v>
      </c>
      <c r="Q14" s="182">
        <f>F7*P14</f>
        <v>29950</v>
      </c>
      <c r="R14" s="174">
        <f>Q14</f>
        <v>29950</v>
      </c>
      <c r="S14" s="174"/>
      <c r="T14" s="171"/>
      <c r="U14" s="171"/>
      <c r="V14" s="171"/>
      <c r="W14" s="171"/>
      <c r="X14" s="171"/>
      <c r="Y14" s="171"/>
    </row>
    <row r="15" spans="1:32" x14ac:dyDescent="0.35">
      <c r="A15" s="8"/>
      <c r="B15" s="7"/>
      <c r="C15" s="153"/>
      <c r="D15" s="135"/>
      <c r="E15" s="10"/>
      <c r="F15" s="154"/>
      <c r="G15" s="18"/>
      <c r="H15" s="300"/>
      <c r="I15" s="145"/>
      <c r="J15" s="143"/>
      <c r="K15" s="143"/>
      <c r="L15" s="143"/>
      <c r="M15" s="144"/>
      <c r="N15" s="303" t="s">
        <v>145</v>
      </c>
      <c r="O15" s="304"/>
      <c r="P15" s="152">
        <v>0</v>
      </c>
      <c r="Q15" s="182">
        <f>F7*P15</f>
        <v>0</v>
      </c>
      <c r="R15" s="174">
        <f>Q15</f>
        <v>0</v>
      </c>
      <c r="S15" s="174"/>
      <c r="T15" s="171"/>
      <c r="U15" s="171"/>
      <c r="V15" s="171"/>
      <c r="W15" s="171"/>
      <c r="X15" s="171"/>
      <c r="Y15" s="171"/>
    </row>
    <row r="16" spans="1:32" x14ac:dyDescent="0.35">
      <c r="A16" s="8"/>
      <c r="B16" s="7"/>
      <c r="C16" s="153"/>
      <c r="D16" s="135"/>
      <c r="E16" s="10"/>
      <c r="F16" s="154"/>
      <c r="G16" s="18"/>
      <c r="H16" s="326"/>
      <c r="I16" s="145" t="s">
        <v>146</v>
      </c>
      <c r="J16" s="143"/>
      <c r="K16" s="143"/>
      <c r="L16" s="143"/>
      <c r="M16" s="144"/>
      <c r="N16" s="141"/>
      <c r="O16" s="141"/>
      <c r="P16" s="327">
        <v>0</v>
      </c>
      <c r="Q16" s="328"/>
      <c r="R16" s="174">
        <f>P16</f>
        <v>0</v>
      </c>
      <c r="S16" s="174"/>
      <c r="T16" s="171"/>
      <c r="U16" s="171"/>
      <c r="V16" s="171"/>
      <c r="W16" s="171"/>
      <c r="X16" s="171"/>
      <c r="Y16" s="171"/>
    </row>
    <row r="17" spans="1:30" x14ac:dyDescent="0.35">
      <c r="A17" s="8"/>
      <c r="B17" s="7"/>
      <c r="C17" s="153"/>
      <c r="D17" s="135"/>
      <c r="E17" s="10"/>
      <c r="F17" s="154"/>
      <c r="G17" s="18"/>
      <c r="H17" s="330" t="s">
        <v>147</v>
      </c>
      <c r="I17" s="214"/>
      <c r="J17" s="214"/>
      <c r="K17" s="214"/>
      <c r="L17" s="214"/>
      <c r="M17" s="215"/>
      <c r="N17" s="305" t="s">
        <v>531</v>
      </c>
      <c r="O17" s="306"/>
      <c r="P17" s="329">
        <v>2181</v>
      </c>
      <c r="Q17" s="329"/>
      <c r="R17" s="174">
        <f>P17</f>
        <v>2181</v>
      </c>
      <c r="S17" s="174"/>
      <c r="T17" s="171"/>
      <c r="U17" s="171"/>
      <c r="V17" s="171"/>
      <c r="W17" s="171"/>
      <c r="X17" s="171"/>
      <c r="Y17" s="171"/>
    </row>
    <row r="18" spans="1:30" ht="14.5" customHeight="1" x14ac:dyDescent="0.35">
      <c r="A18" s="8"/>
      <c r="B18" s="7"/>
      <c r="C18" s="113"/>
      <c r="D18" s="135"/>
      <c r="E18" s="10"/>
      <c r="F18" s="136"/>
      <c r="G18" s="18"/>
      <c r="H18" s="331"/>
      <c r="I18" s="25"/>
      <c r="J18" s="25"/>
      <c r="K18" s="25"/>
      <c r="L18" s="25"/>
      <c r="M18" s="25"/>
      <c r="N18" s="310" t="s">
        <v>532</v>
      </c>
      <c r="O18" s="311"/>
      <c r="P18" s="329">
        <f>AF12</f>
        <v>10905</v>
      </c>
      <c r="Q18" s="329"/>
      <c r="R18" s="8"/>
      <c r="S18" s="8"/>
    </row>
    <row r="19" spans="1:30" ht="17.25" hidden="1" customHeight="1" x14ac:dyDescent="0.35">
      <c r="A19" s="8"/>
      <c r="B19" s="8"/>
      <c r="C19" s="113"/>
      <c r="D19" s="75">
        <f ca="1">EDATE(D3,F8)</f>
        <v>46054</v>
      </c>
      <c r="E19" s="10"/>
      <c r="F19" s="93"/>
      <c r="G19" s="13"/>
      <c r="H19" s="104"/>
      <c r="I19" s="137"/>
      <c r="J19" s="137"/>
      <c r="K19" s="137"/>
      <c r="L19" s="137"/>
      <c r="M19" s="102"/>
      <c r="N19" s="102"/>
      <c r="O19" s="102"/>
      <c r="P19" s="102"/>
      <c r="Q19" s="103"/>
      <c r="R19" s="13"/>
      <c r="S19" s="13"/>
      <c r="T19" s="6"/>
      <c r="AD19" s="5">
        <f>F4/AD8</f>
        <v>588.23529411764707</v>
      </c>
    </row>
    <row r="20" spans="1:30" ht="17.25" hidden="1" customHeight="1" x14ac:dyDescent="0.35">
      <c r="A20" s="8"/>
      <c r="B20" s="8"/>
      <c r="C20" s="111" t="s">
        <v>74</v>
      </c>
      <c r="D20" s="312" t="str">
        <f>графік!D20</f>
        <v xml:space="preserve">Фіксова на весь строк </v>
      </c>
      <c r="E20" s="313"/>
      <c r="F20" s="314"/>
      <c r="G20" s="114"/>
      <c r="H20" s="116" t="s">
        <v>112</v>
      </c>
      <c r="I20" s="138"/>
      <c r="J20" s="138"/>
      <c r="K20" s="138"/>
      <c r="L20" s="138"/>
      <c r="M20" s="117"/>
      <c r="N20" s="117"/>
      <c r="O20" s="117"/>
      <c r="P20" s="117"/>
      <c r="Q20" s="123"/>
      <c r="R20" s="122"/>
      <c r="S20" s="115"/>
      <c r="T20" s="6"/>
    </row>
    <row r="21" spans="1:30" ht="18.75" hidden="1" customHeight="1" x14ac:dyDescent="0.35">
      <c r="A21" s="8"/>
      <c r="B21" s="8"/>
      <c r="C21" s="111" t="s">
        <v>114</v>
      </c>
      <c r="D21" s="98"/>
      <c r="E21" s="94"/>
      <c r="F21" s="99">
        <f>графік!F21</f>
        <v>0.1588</v>
      </c>
      <c r="G21" s="115"/>
      <c r="H21" s="120" t="s">
        <v>113</v>
      </c>
      <c r="I21" s="139"/>
      <c r="J21" s="139"/>
      <c r="K21" s="139"/>
      <c r="L21" s="139"/>
      <c r="M21" s="118"/>
      <c r="N21" s="118"/>
      <c r="O21" s="118"/>
      <c r="P21" s="118"/>
      <c r="Q21" s="121">
        <f>IF(M21="наявне",F7*F8*0.12%,0)</f>
        <v>0</v>
      </c>
      <c r="R21" s="122"/>
      <c r="S21" s="115"/>
      <c r="T21" s="6"/>
    </row>
    <row r="22" spans="1:30" ht="15.75" hidden="1" customHeight="1" x14ac:dyDescent="0.35">
      <c r="A22" s="87"/>
      <c r="B22" s="8"/>
      <c r="C22" s="112" t="s">
        <v>73</v>
      </c>
      <c r="D22" s="100"/>
      <c r="E22" s="100"/>
      <c r="F22" s="101">
        <f>графік!F22</f>
        <v>0.03</v>
      </c>
      <c r="G22" s="92"/>
      <c r="H22" s="92"/>
      <c r="I22" s="92"/>
      <c r="J22" s="92"/>
      <c r="K22" s="92"/>
      <c r="L22" s="92"/>
      <c r="M22" s="119"/>
      <c r="N22" s="119"/>
      <c r="O22" s="119"/>
      <c r="P22" s="119"/>
      <c r="Q22" s="119"/>
      <c r="R22" s="14"/>
      <c r="S22" s="14"/>
      <c r="T22" s="4"/>
    </row>
    <row r="23" spans="1:30" hidden="1" x14ac:dyDescent="0.35">
      <c r="A23" s="8"/>
      <c r="B23" s="8"/>
      <c r="C23" s="86" t="s">
        <v>74</v>
      </c>
      <c r="D23" s="8"/>
      <c r="E23" s="8"/>
      <c r="F23" s="71" t="str">
        <f>IF(F8&gt;60,EDATE(F3,60),"Фіксова на весь строк ")</f>
        <v xml:space="preserve">Фіксова на весь строк 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4"/>
    </row>
    <row r="24" spans="1:30" hidden="1" x14ac:dyDescent="0.35">
      <c r="A24" s="8"/>
      <c r="B24" s="8"/>
      <c r="C24" s="76" t="s">
        <v>108</v>
      </c>
      <c r="D24" s="76"/>
      <c r="E24" s="76"/>
      <c r="F24" s="77">
        <f>F21+F22</f>
        <v>0.1888</v>
      </c>
      <c r="G24" s="13"/>
      <c r="H24" s="84"/>
      <c r="I24" s="140"/>
      <c r="J24" s="140"/>
      <c r="K24" s="140"/>
      <c r="L24" s="140"/>
      <c r="M24" s="13"/>
      <c r="N24" s="13"/>
      <c r="O24" s="13"/>
      <c r="P24" s="13"/>
      <c r="Q24" s="82"/>
      <c r="R24" s="13"/>
      <c r="S24" s="13"/>
      <c r="T24" s="6"/>
      <c r="AD24" s="5" t="str">
        <f>IF(AD19&lt;165,"3%",IF(AD19&gt;290,"5%","4%"))</f>
        <v>5%</v>
      </c>
    </row>
    <row r="25" spans="1:30" ht="15" thickBot="1" x14ac:dyDescent="0.4">
      <c r="A25" s="85"/>
      <c r="B25" s="8"/>
      <c r="C25" s="85"/>
      <c r="D25" s="85"/>
      <c r="E25" s="8"/>
      <c r="F25" s="8"/>
      <c r="G25" s="81"/>
      <c r="H25" s="83"/>
      <c r="I25" s="81"/>
      <c r="J25" s="81"/>
      <c r="K25" s="81"/>
      <c r="L25" s="81"/>
      <c r="M25" s="81"/>
      <c r="N25" s="81"/>
      <c r="O25" s="81"/>
      <c r="P25" s="81"/>
      <c r="Q25" s="83"/>
      <c r="R25" s="14"/>
      <c r="S25" s="14"/>
      <c r="T25" s="4"/>
    </row>
    <row r="26" spans="1:30" ht="48" x14ac:dyDescent="0.35">
      <c r="A26" s="105" t="s">
        <v>62</v>
      </c>
      <c r="B26" s="106" t="s">
        <v>63</v>
      </c>
      <c r="C26" s="107" t="s">
        <v>63</v>
      </c>
      <c r="D26" s="107" t="s">
        <v>64</v>
      </c>
      <c r="E26" s="106" t="s">
        <v>65</v>
      </c>
      <c r="F26" s="107" t="s">
        <v>67</v>
      </c>
      <c r="G26" s="108" t="s">
        <v>68</v>
      </c>
      <c r="H26" s="109" t="s">
        <v>69</v>
      </c>
      <c r="I26" s="289" t="s">
        <v>133</v>
      </c>
      <c r="J26" s="290"/>
      <c r="K26" s="290"/>
      <c r="L26" s="291"/>
      <c r="M26" s="109" t="s">
        <v>70</v>
      </c>
      <c r="N26" s="107" t="s">
        <v>127</v>
      </c>
      <c r="O26" s="109" t="s">
        <v>138</v>
      </c>
      <c r="P26" s="110" t="str">
        <f>H9</f>
        <v>Розрахунково-касове обслуговування, грн</v>
      </c>
      <c r="Q26" s="110" t="s">
        <v>120</v>
      </c>
      <c r="R26" s="107" t="s">
        <v>119</v>
      </c>
      <c r="S26" s="110" t="s">
        <v>533</v>
      </c>
      <c r="T26" s="4"/>
    </row>
    <row r="27" spans="1:30" ht="24" x14ac:dyDescent="0.35">
      <c r="A27" s="110"/>
      <c r="B27" s="110"/>
      <c r="C27" s="110"/>
      <c r="D27" s="110"/>
      <c r="E27" s="110"/>
      <c r="F27" s="110"/>
      <c r="G27" s="110"/>
      <c r="H27" s="110"/>
      <c r="I27" s="107" t="s">
        <v>134</v>
      </c>
      <c r="J27" s="107" t="s">
        <v>135</v>
      </c>
      <c r="K27" s="107" t="s">
        <v>136</v>
      </c>
      <c r="L27" s="107" t="s">
        <v>137</v>
      </c>
      <c r="M27" s="110"/>
      <c r="N27" s="110"/>
      <c r="O27" s="110"/>
      <c r="P27" s="110"/>
      <c r="Q27" s="110"/>
      <c r="R27" s="110"/>
      <c r="S27" s="110"/>
      <c r="T27" s="4"/>
    </row>
    <row r="28" spans="1:30" ht="12" customHeight="1" x14ac:dyDescent="0.35">
      <c r="A28" s="20"/>
      <c r="B28" s="21">
        <f ca="1">D3</f>
        <v>44228</v>
      </c>
      <c r="C28" s="21">
        <f t="shared" ref="C28:C29" ca="1" si="1">IF(A28&gt;$D$8,"",B28)</f>
        <v>44228</v>
      </c>
      <c r="D28" s="20"/>
      <c r="E28" s="22">
        <f>IF(R8="кредит",D7+P8,D7)</f>
        <v>500000</v>
      </c>
      <c r="F28" s="20"/>
      <c r="G28" s="20"/>
      <c r="H28" s="67">
        <f>-E28+M28+P28+I28+J28+K28+L28+N28+O28</f>
        <v>-462869</v>
      </c>
      <c r="I28" s="175">
        <f>R12</f>
        <v>0</v>
      </c>
      <c r="J28" s="175">
        <f>R13</f>
        <v>0</v>
      </c>
      <c r="K28" s="175">
        <f>Q14+Q15</f>
        <v>29950</v>
      </c>
      <c r="L28" s="175">
        <f>R16</f>
        <v>0</v>
      </c>
      <c r="M28" s="22">
        <f>P8</f>
        <v>5000</v>
      </c>
      <c r="N28" s="22">
        <f>R11</f>
        <v>0</v>
      </c>
      <c r="O28" s="22">
        <f>R17</f>
        <v>2181</v>
      </c>
      <c r="P28" s="22">
        <f>P9</f>
        <v>0</v>
      </c>
      <c r="Q28" s="23"/>
      <c r="R28" s="24"/>
      <c r="S28" s="24">
        <f>H28</f>
        <v>-462869</v>
      </c>
      <c r="T28" s="19"/>
      <c r="U28" s="15">
        <f ca="1">U29</f>
        <v>365</v>
      </c>
      <c r="V28" s="15"/>
      <c r="W28" s="15"/>
      <c r="X28" s="15"/>
      <c r="Y28" s="15"/>
    </row>
    <row r="29" spans="1:30" x14ac:dyDescent="0.35">
      <c r="A29" s="25">
        <v>1</v>
      </c>
      <c r="B29" s="21">
        <f ca="1">EDATE($B$28,1)</f>
        <v>44256</v>
      </c>
      <c r="C29" s="21">
        <f t="shared" ca="1" si="1"/>
        <v>44256</v>
      </c>
      <c r="D29" s="25">
        <f t="shared" ref="D29:D40" ca="1" si="2">B29-B28</f>
        <v>28</v>
      </c>
      <c r="E29" s="22">
        <f>E28-F29</f>
        <v>491666.66666666669</v>
      </c>
      <c r="F29" s="22">
        <f t="shared" ref="F29" si="3">$E$28/$D$8</f>
        <v>8333.3333333333339</v>
      </c>
      <c r="G29" s="22">
        <f ca="1">IF(U29&lt;&gt;U28,ROUND(SUM(W29*$F$10*E28/U29,X29*$F$10*E28/U28),2),ROUND(E28*$F$10*D29/U28,2))</f>
        <v>0</v>
      </c>
      <c r="H29" s="22">
        <f ca="1">F29+G29</f>
        <v>8333.3333333333339</v>
      </c>
      <c r="I29" s="22"/>
      <c r="J29" s="22"/>
      <c r="K29" s="22"/>
      <c r="L29" s="22"/>
      <c r="M29" s="25"/>
      <c r="N29" s="25"/>
      <c r="O29" s="25"/>
      <c r="P29" s="25"/>
      <c r="Q29" s="68" t="str">
        <f>IF(A28=$D$8,XIRR(S$28:S28,C$28:C28),"")</f>
        <v/>
      </c>
      <c r="R29" s="22" t="str">
        <f t="shared" ref="R29:R88" si="4">IF(A28=$D$8,G29+$M$28+$P$28+F29+$I$28+$J$28+$K$28+$L$28+$N$28+$P$18,"")</f>
        <v/>
      </c>
      <c r="S29" s="22">
        <f ca="1">SUM(H29:R29)</f>
        <v>8333.3333333333339</v>
      </c>
      <c r="T29" s="15">
        <f ca="1">IF(C29="","",YEAR(C29))</f>
        <v>2021</v>
      </c>
      <c r="U29" s="15">
        <f ca="1">IF(OR(T29=2024,T29=2028,T29=2016,T29=2020),366,365)</f>
        <v>365</v>
      </c>
      <c r="V29" s="15">
        <f ca="1">IF(C29="","",DAY(C29))</f>
        <v>1</v>
      </c>
      <c r="W29" s="16">
        <f ca="1">V29-1</f>
        <v>0</v>
      </c>
      <c r="X29" s="17">
        <f ca="1">D29-W29</f>
        <v>28</v>
      </c>
      <c r="Y29" s="15"/>
    </row>
    <row r="30" spans="1:30" x14ac:dyDescent="0.35">
      <c r="A30" s="25">
        <f>IF(A29&lt;$D$8,A29+1,"")</f>
        <v>2</v>
      </c>
      <c r="B30" s="21">
        <f ca="1">EDATE($B$28,2)</f>
        <v>44287</v>
      </c>
      <c r="C30" s="21">
        <f t="shared" ref="C30:C93" ca="1" si="5">IF(B30=$D$19,B30-1,(IF(B30&gt;$D$19," ",B30)))</f>
        <v>44287</v>
      </c>
      <c r="D30" s="25">
        <f t="shared" ca="1" si="2"/>
        <v>31</v>
      </c>
      <c r="E30" s="22">
        <f>E29-F30</f>
        <v>483333.33666666667</v>
      </c>
      <c r="F30" s="22">
        <f>ROUND($E$28/$D$8,2)</f>
        <v>8333.33</v>
      </c>
      <c r="G30" s="22">
        <f ca="1">IF(A29=$D$8,ROUND(SUM($G$29:G29),2),IF(A30&gt;$F$8,"",IF(U30&lt;&gt;U29,ROUND(SUM(W30*$F$10*E29/U30,X30*$F$10*E29/U29),2),ROUND(E29*$F$10*D30/U29,2))))</f>
        <v>0</v>
      </c>
      <c r="H30" s="22">
        <f ca="1">IF(A29=$D$8,SUM(H7:H29),IF(A29&gt;$D$8,"",F30+G30))</f>
        <v>8333.33</v>
      </c>
      <c r="I30" s="22"/>
      <c r="J30" s="22"/>
      <c r="K30" s="22"/>
      <c r="L30" s="22"/>
      <c r="M30" s="25"/>
      <c r="N30" s="25"/>
      <c r="O30" s="25"/>
      <c r="P30" s="25"/>
      <c r="Q30" s="68" t="str">
        <f>IF(A29=$D$8,XIRR(S$28:S29,C$28:C29),"")</f>
        <v/>
      </c>
      <c r="R30" s="22" t="str">
        <f t="shared" si="4"/>
        <v/>
      </c>
      <c r="S30" s="22">
        <f t="shared" ref="S30:S88" ca="1" si="6">SUM(H30:R30)</f>
        <v>8333.33</v>
      </c>
      <c r="T30" s="15">
        <f t="shared" ref="T30:T93" ca="1" si="7">IF(C30="","",YEAR(C30))</f>
        <v>2021</v>
      </c>
      <c r="U30" s="15">
        <f t="shared" ref="U30:U93" ca="1" si="8">IF(OR(T30=2024,T30=2028,T30=2016,T30=2020),366,365)</f>
        <v>365</v>
      </c>
      <c r="V30" s="15">
        <f t="shared" ref="V30:V93" ca="1" si="9">IF(C30="","",DAY(C30))</f>
        <v>1</v>
      </c>
      <c r="W30" s="16">
        <f t="shared" ref="W30:W93" ca="1" si="10">V30-1</f>
        <v>0</v>
      </c>
      <c r="X30" s="17">
        <f t="shared" ref="X30:X93" ca="1" si="11">D30-W30</f>
        <v>31</v>
      </c>
      <c r="Y30" s="15"/>
    </row>
    <row r="31" spans="1:30" x14ac:dyDescent="0.35">
      <c r="A31" s="25">
        <f t="shared" ref="A31:A94" si="12">IF(A30&lt;$D$8,A30+1,"")</f>
        <v>3</v>
      </c>
      <c r="B31" s="21">
        <f ca="1">EDATE($B$28,3)</f>
        <v>44317</v>
      </c>
      <c r="C31" s="21">
        <f t="shared" ca="1" si="5"/>
        <v>44317</v>
      </c>
      <c r="D31" s="25">
        <f t="shared" ca="1" si="2"/>
        <v>30</v>
      </c>
      <c r="E31" s="22">
        <f t="shared" ref="E31:E40" si="13">E30-F31</f>
        <v>475000.00666666665</v>
      </c>
      <c r="F31" s="22">
        <f>IF(AND(A30="",A32=""),"",IF(A31="",ROUND(SUM($F$29:F30),2),IF(A31=$D$8,$E$28-ROUND(SUM($F$29:F30),2),ROUND($E$28/$D$8,2))))</f>
        <v>8333.33</v>
      </c>
      <c r="G31" s="22">
        <f ca="1">IF(A30=$D$8,ROUND(SUM($G$29:G30),2),IF(A31&gt;$F$8,"",IF(U31&lt;&gt;U30,ROUND(SUM(W31*$F$10*E30/U31,X31*$F$10*E30/U30),2),ROUND(E30*$F$10*D31/U30,2))))</f>
        <v>0</v>
      </c>
      <c r="H31" s="22">
        <f ca="1">IF(A30=$D$8,SUM(H8:H30),IF(A30&gt;$D$8,"",F31+G31))</f>
        <v>8333.33</v>
      </c>
      <c r="I31" s="22"/>
      <c r="J31" s="22"/>
      <c r="K31" s="22"/>
      <c r="L31" s="22"/>
      <c r="M31" s="25"/>
      <c r="N31" s="25"/>
      <c r="O31" s="25"/>
      <c r="P31" s="25"/>
      <c r="Q31" s="68" t="str">
        <f>IF(A30=$D$8,XIRR(S$28:S30,C$28:C30),"")</f>
        <v/>
      </c>
      <c r="R31" s="22" t="str">
        <f t="shared" si="4"/>
        <v/>
      </c>
      <c r="S31" s="22">
        <f t="shared" ca="1" si="6"/>
        <v>8333.33</v>
      </c>
      <c r="T31" s="15">
        <f t="shared" ca="1" si="7"/>
        <v>2021</v>
      </c>
      <c r="U31" s="15">
        <f t="shared" ca="1" si="8"/>
        <v>365</v>
      </c>
      <c r="V31" s="15">
        <f t="shared" ca="1" si="9"/>
        <v>1</v>
      </c>
      <c r="W31" s="16">
        <f t="shared" ca="1" si="10"/>
        <v>0</v>
      </c>
      <c r="X31" s="17">
        <f t="shared" ca="1" si="11"/>
        <v>30</v>
      </c>
      <c r="Y31" s="15"/>
    </row>
    <row r="32" spans="1:30" x14ac:dyDescent="0.35">
      <c r="A32" s="25">
        <f t="shared" si="12"/>
        <v>4</v>
      </c>
      <c r="B32" s="21">
        <f ca="1">EDATE($B$28,4)</f>
        <v>44348</v>
      </c>
      <c r="C32" s="21">
        <f t="shared" ca="1" si="5"/>
        <v>44348</v>
      </c>
      <c r="D32" s="25">
        <f t="shared" ca="1" si="2"/>
        <v>31</v>
      </c>
      <c r="E32" s="22">
        <f t="shared" si="13"/>
        <v>466666.67666666664</v>
      </c>
      <c r="F32" s="22">
        <f>IF(AND(A31="",A33=""),"",IF(A32="",ROUND(SUM($F$29:F31),2),IF(A32=$D$8,$E$28-ROUND(SUM($F$29:F31),2),ROUND($E$28/$D$8,2))))</f>
        <v>8333.33</v>
      </c>
      <c r="G32" s="22">
        <f ca="1">IF(A31=$D$8,ROUND(SUM($G$29:G31),2),IF(A32&gt;$F$8,"",IF(U32&lt;&gt;U31,ROUND(SUM(W32*$F$9*E31/U32,X32*$F$9*E31/U31),2),ROUND(E31*$F$9*D32/U31,2))))</f>
        <v>12098.71</v>
      </c>
      <c r="H32" s="22">
        <f ca="1">IF(A31=$D$8,SUM(H9:H31),IF(A31&gt;$D$8,"",F32+G32))</f>
        <v>20432.04</v>
      </c>
      <c r="I32" s="22" t="str">
        <f>IF(A31=$D$8,$I$28,"")</f>
        <v/>
      </c>
      <c r="J32" s="22" t="str">
        <f>IF(A31=$D$8,$J$28,"")</f>
        <v/>
      </c>
      <c r="K32" s="22" t="str">
        <f>IF(A31=$D$8,$K$28,"")</f>
        <v/>
      </c>
      <c r="L32" s="22" t="str">
        <f>IF(A31=$D$8,$L$28,"")</f>
        <v/>
      </c>
      <c r="M32" s="22" t="str">
        <f>IF(A31=$D$8,$M$28,"")</f>
        <v/>
      </c>
      <c r="N32" s="22" t="str">
        <f>IF(A31=$D$8,$N$28,"")</f>
        <v/>
      </c>
      <c r="O32" s="22" t="str">
        <f>IF(A31=$D$8,$O$28,"")</f>
        <v/>
      </c>
      <c r="P32" s="22"/>
      <c r="Q32" s="68" t="str">
        <f>IF(A31=$D$8,XIRR(S$28:S31,C$28:C31),"")</f>
        <v/>
      </c>
      <c r="R32" s="22" t="str">
        <f t="shared" si="4"/>
        <v/>
      </c>
      <c r="S32" s="22">
        <f t="shared" ca="1" si="6"/>
        <v>20432.04</v>
      </c>
      <c r="T32" s="15">
        <f t="shared" ca="1" si="7"/>
        <v>2021</v>
      </c>
      <c r="U32" s="15">
        <f t="shared" ca="1" si="8"/>
        <v>365</v>
      </c>
      <c r="V32" s="15">
        <f t="shared" ca="1" si="9"/>
        <v>1</v>
      </c>
      <c r="W32" s="16">
        <f t="shared" ca="1" si="10"/>
        <v>0</v>
      </c>
      <c r="X32" s="17">
        <f t="shared" ca="1" si="11"/>
        <v>31</v>
      </c>
      <c r="Y32" s="15"/>
    </row>
    <row r="33" spans="1:25" x14ac:dyDescent="0.35">
      <c r="A33" s="25">
        <f t="shared" si="12"/>
        <v>5</v>
      </c>
      <c r="B33" s="21">
        <f ca="1">EDATE($B$28,5)</f>
        <v>44378</v>
      </c>
      <c r="C33" s="21">
        <f t="shared" ca="1" si="5"/>
        <v>44378</v>
      </c>
      <c r="D33" s="25">
        <f t="shared" ca="1" si="2"/>
        <v>30</v>
      </c>
      <c r="E33" s="22">
        <f t="shared" si="13"/>
        <v>458333.34666666662</v>
      </c>
      <c r="F33" s="22">
        <f>IF(AND(A32="",A34=""),"",IF(A33="",ROUND(SUM($F$29:F32),2),IF(A33=$D$8,$E$28-ROUND(SUM($F$29:F32),2),ROUND($E$28/$D$8,2))))</f>
        <v>8333.33</v>
      </c>
      <c r="G33" s="22">
        <f ca="1">IF(A32=$D$8,ROUND(SUM($G$29:G32),2),IF(A33&gt;$F$8,"",IF(U33&lt;&gt;U32,ROUND(SUM(W33*$F$9*E32/U33,X33*$F$9*E32/U32),2),ROUND(E32*$F$9*D33/U32,2))))</f>
        <v>11503.01</v>
      </c>
      <c r="H33" s="22">
        <f ca="1">IF(A32=$D$8,SUM(H19:H32),IF(A32&gt;$D$8,"",F33+G33))</f>
        <v>19836.34</v>
      </c>
      <c r="I33" s="22" t="str">
        <f t="shared" ref="I33:I35" si="14">IF(A32=$D$8,$I$28,"")</f>
        <v/>
      </c>
      <c r="J33" s="22" t="str">
        <f t="shared" ref="J33:J35" si="15">IF(A32=$D$8,$J$28,"")</f>
        <v/>
      </c>
      <c r="K33" s="22" t="str">
        <f t="shared" ref="K33:K35" si="16">IF(A32=$D$8,$K$28,"")</f>
        <v/>
      </c>
      <c r="L33" s="22" t="str">
        <f t="shared" ref="L33:L35" si="17">IF(A32=$D$8,$L$28,"")</f>
        <v/>
      </c>
      <c r="M33" s="22" t="str">
        <f>IF(A32=$D$8,$M$28,"")</f>
        <v/>
      </c>
      <c r="N33" s="22" t="str">
        <f t="shared" ref="N33:N35" si="18">IF(A32=$D$8,$N$28,"")</f>
        <v/>
      </c>
      <c r="O33" s="22" t="str">
        <f t="shared" ref="O33:O40" si="19">IF(A32=$D$8,$O$28,"")</f>
        <v/>
      </c>
      <c r="P33" s="22"/>
      <c r="Q33" s="68" t="str">
        <f>IF(A32=$D$8,XIRR(S$28:S32,C$28:C32),"")</f>
        <v/>
      </c>
      <c r="R33" s="22" t="str">
        <f t="shared" si="4"/>
        <v/>
      </c>
      <c r="S33" s="22">
        <f t="shared" ca="1" si="6"/>
        <v>19836.34</v>
      </c>
      <c r="T33" s="15">
        <f t="shared" ca="1" si="7"/>
        <v>2021</v>
      </c>
      <c r="U33" s="15">
        <f t="shared" ca="1" si="8"/>
        <v>365</v>
      </c>
      <c r="V33" s="15">
        <f t="shared" ca="1" si="9"/>
        <v>1</v>
      </c>
      <c r="W33" s="16">
        <f t="shared" ca="1" si="10"/>
        <v>0</v>
      </c>
      <c r="X33" s="17">
        <f t="shared" ca="1" si="11"/>
        <v>30</v>
      </c>
      <c r="Y33" s="15"/>
    </row>
    <row r="34" spans="1:25" x14ac:dyDescent="0.35">
      <c r="A34" s="25">
        <f t="shared" si="12"/>
        <v>6</v>
      </c>
      <c r="B34" s="21">
        <f ca="1">EDATE($B$28,6)</f>
        <v>44409</v>
      </c>
      <c r="C34" s="21">
        <f t="shared" ca="1" si="5"/>
        <v>44409</v>
      </c>
      <c r="D34" s="25">
        <f t="shared" ca="1" si="2"/>
        <v>31</v>
      </c>
      <c r="E34" s="22">
        <f t="shared" si="13"/>
        <v>450000.0166666666</v>
      </c>
      <c r="F34" s="22">
        <f>IF(AND(A33="",A35=""),"",IF(A34="",ROUND(SUM($F$29:F33),2),IF(A34=$D$8,$E$28-ROUND(SUM($F$29:F33),2),ROUND($E$28/$D$8,2))))</f>
        <v>8333.33</v>
      </c>
      <c r="G34" s="22">
        <f ca="1">IF(A33=$D$8,ROUND(SUM($G$29:G33),2),IF(A34&gt;$F$8,"",IF(U34&lt;&gt;U33,ROUND(SUM(W34*$F$9*E33/U34,X34*$F$9*E33/U33),2),ROUND(E33*$F$9*D34/U33,2))))</f>
        <v>11674.19</v>
      </c>
      <c r="H34" s="22">
        <f t="shared" ref="H34:H39" ca="1" si="20">IF(A33=$D$8,SUM(H21:H33),IF(A33&gt;$D$8,"",F34+G34))</f>
        <v>20007.52</v>
      </c>
      <c r="I34" s="22" t="str">
        <f t="shared" si="14"/>
        <v/>
      </c>
      <c r="J34" s="22" t="str">
        <f t="shared" si="15"/>
        <v/>
      </c>
      <c r="K34" s="22" t="str">
        <f t="shared" si="16"/>
        <v/>
      </c>
      <c r="L34" s="22" t="str">
        <f t="shared" si="17"/>
        <v/>
      </c>
      <c r="M34" s="22" t="str">
        <f>IF(A33=$D$8,$M$28,"")</f>
        <v/>
      </c>
      <c r="N34" s="22" t="str">
        <f t="shared" si="18"/>
        <v/>
      </c>
      <c r="O34" s="22" t="str">
        <f t="shared" si="19"/>
        <v/>
      </c>
      <c r="P34" s="22"/>
      <c r="Q34" s="68" t="str">
        <f>IF(A33=$D$8,XIRR(S$28:S33,C$28:C33),"")</f>
        <v/>
      </c>
      <c r="R34" s="22" t="str">
        <f t="shared" si="4"/>
        <v/>
      </c>
      <c r="S34" s="22">
        <f t="shared" ca="1" si="6"/>
        <v>20007.52</v>
      </c>
      <c r="T34" s="15">
        <f t="shared" ca="1" si="7"/>
        <v>2021</v>
      </c>
      <c r="U34" s="15">
        <f t="shared" ca="1" si="8"/>
        <v>365</v>
      </c>
      <c r="V34" s="15">
        <f t="shared" ca="1" si="9"/>
        <v>1</v>
      </c>
      <c r="W34" s="16">
        <f t="shared" ca="1" si="10"/>
        <v>0</v>
      </c>
      <c r="X34" s="17">
        <f t="shared" ca="1" si="11"/>
        <v>31</v>
      </c>
      <c r="Y34" s="15"/>
    </row>
    <row r="35" spans="1:25" x14ac:dyDescent="0.35">
      <c r="A35" s="25">
        <f t="shared" si="12"/>
        <v>7</v>
      </c>
      <c r="B35" s="21">
        <f ca="1">EDATE($B$28,7)</f>
        <v>44440</v>
      </c>
      <c r="C35" s="21">
        <f t="shared" ca="1" si="5"/>
        <v>44440</v>
      </c>
      <c r="D35" s="25">
        <f t="shared" ca="1" si="2"/>
        <v>31</v>
      </c>
      <c r="E35" s="22">
        <f t="shared" si="13"/>
        <v>441666.68666666659</v>
      </c>
      <c r="F35" s="22">
        <f>IF(AND(A34="",A36=""),"",IF(A35="",ROUND(SUM($F$29:F34),2),IF(A35=$D$8,$E$28-ROUND(SUM($F$29:F34),2),ROUND($E$28/$D$8,2))))</f>
        <v>8333.33</v>
      </c>
      <c r="G35" s="22">
        <f ca="1">IF(A34=$D$8,ROUND(SUM($G$29:G34),2),IF(A35&gt;$F$8,"",IF(U35&lt;&gt;U34,ROUND(SUM(W35*$F$9*E34/U35,X35*$F$9*E34/U34),2),ROUND(E34*$F$9*D35/U34,2))))</f>
        <v>11461.93</v>
      </c>
      <c r="H35" s="22">
        <f t="shared" ca="1" si="20"/>
        <v>19795.260000000002</v>
      </c>
      <c r="I35" s="22" t="str">
        <f t="shared" si="14"/>
        <v/>
      </c>
      <c r="J35" s="22" t="str">
        <f t="shared" si="15"/>
        <v/>
      </c>
      <c r="K35" s="22" t="str">
        <f t="shared" si="16"/>
        <v/>
      </c>
      <c r="L35" s="22" t="str">
        <f t="shared" si="17"/>
        <v/>
      </c>
      <c r="M35" s="22"/>
      <c r="N35" s="22" t="str">
        <f t="shared" si="18"/>
        <v/>
      </c>
      <c r="O35" s="22" t="str">
        <f t="shared" si="19"/>
        <v/>
      </c>
      <c r="P35" s="22"/>
      <c r="Q35" s="68" t="str">
        <f>IF(A34=$D$8,XIRR(S$28:S34,C$28:C34),"")</f>
        <v/>
      </c>
      <c r="R35" s="22" t="str">
        <f t="shared" si="4"/>
        <v/>
      </c>
      <c r="S35" s="22">
        <f t="shared" ca="1" si="6"/>
        <v>19795.260000000002</v>
      </c>
      <c r="T35" s="15">
        <f t="shared" ca="1" si="7"/>
        <v>2021</v>
      </c>
      <c r="U35" s="15">
        <f t="shared" ca="1" si="8"/>
        <v>365</v>
      </c>
      <c r="V35" s="15">
        <f t="shared" ca="1" si="9"/>
        <v>1</v>
      </c>
      <c r="W35" s="16">
        <f t="shared" ca="1" si="10"/>
        <v>0</v>
      </c>
      <c r="X35" s="17">
        <f t="shared" ca="1" si="11"/>
        <v>31</v>
      </c>
      <c r="Y35" s="15"/>
    </row>
    <row r="36" spans="1:25" x14ac:dyDescent="0.35">
      <c r="A36" s="25">
        <f t="shared" si="12"/>
        <v>8</v>
      </c>
      <c r="B36" s="21">
        <f ca="1">EDATE($B$28,8)</f>
        <v>44470</v>
      </c>
      <c r="C36" s="21">
        <f t="shared" ca="1" si="5"/>
        <v>44470</v>
      </c>
      <c r="D36" s="25">
        <f t="shared" ca="1" si="2"/>
        <v>30</v>
      </c>
      <c r="E36" s="22">
        <f t="shared" si="13"/>
        <v>433333.35666666657</v>
      </c>
      <c r="F36" s="22">
        <f>IF(AND(A35="",A37=""),"",IF(A36="",ROUND(SUM($F$29:F35),2),IF(A36=$D$8,$E$28-ROUND(SUM($F$29:F35),2),ROUND($E$28/$D$8,2))))</f>
        <v>8333.33</v>
      </c>
      <c r="G36" s="22">
        <f ca="1">IF(A35=$D$8,ROUND(SUM($G$29:G35),2),IF(A36&gt;$F$8,"",IF(U36&lt;&gt;U35,ROUND(SUM(W36*$F$9*E35/U36,X36*$F$9*E35/U35),2),ROUND(E35*$F$9*D36/U35,2))))</f>
        <v>10886.78</v>
      </c>
      <c r="H36" s="22">
        <f t="shared" ca="1" si="20"/>
        <v>19220.11</v>
      </c>
      <c r="I36" s="22" t="str">
        <f t="shared" ref="I36:I89" si="21">IF(A35=$D$8,$I$28,"")</f>
        <v/>
      </c>
      <c r="J36" s="22" t="str">
        <f t="shared" ref="J36:J89" si="22">IF(A35=$D$8,$J$28,"")</f>
        <v/>
      </c>
      <c r="K36" s="22" t="str">
        <f t="shared" ref="K36:K89" si="23">IF(A35=$D$8,$K$28,"")</f>
        <v/>
      </c>
      <c r="L36" s="22" t="str">
        <f t="shared" ref="L36:L89" si="24">IF(A35=$D$8,$L$28,"")</f>
        <v/>
      </c>
      <c r="M36" s="22" t="str">
        <f t="shared" ref="M36:M67" si="25">IF(A35=$D$8,$M$28,"")</f>
        <v/>
      </c>
      <c r="N36" s="22" t="str">
        <f t="shared" ref="N36:N89" si="26">IF(A35=$D$8,$N$28,"")</f>
        <v/>
      </c>
      <c r="O36" s="22" t="str">
        <f t="shared" si="19"/>
        <v/>
      </c>
      <c r="P36" s="22"/>
      <c r="Q36" s="68" t="str">
        <f>IF(A35=$D$8,XIRR(S$28:S35,C$28:C35),"")</f>
        <v/>
      </c>
      <c r="R36" s="22" t="str">
        <f t="shared" si="4"/>
        <v/>
      </c>
      <c r="S36" s="22">
        <f t="shared" ca="1" si="6"/>
        <v>19220.11</v>
      </c>
      <c r="T36" s="15">
        <f t="shared" ca="1" si="7"/>
        <v>2021</v>
      </c>
      <c r="U36" s="15">
        <f t="shared" ca="1" si="8"/>
        <v>365</v>
      </c>
      <c r="V36" s="15">
        <f t="shared" ca="1" si="9"/>
        <v>1</v>
      </c>
      <c r="W36" s="16">
        <f t="shared" ca="1" si="10"/>
        <v>0</v>
      </c>
      <c r="X36" s="17">
        <f t="shared" ca="1" si="11"/>
        <v>30</v>
      </c>
      <c r="Y36" s="15"/>
    </row>
    <row r="37" spans="1:25" x14ac:dyDescent="0.35">
      <c r="A37" s="25">
        <f t="shared" si="12"/>
        <v>9</v>
      </c>
      <c r="B37" s="21">
        <f ca="1">EDATE($B$28,9)</f>
        <v>44501</v>
      </c>
      <c r="C37" s="21">
        <f t="shared" ca="1" si="5"/>
        <v>44501</v>
      </c>
      <c r="D37" s="25">
        <f t="shared" ca="1" si="2"/>
        <v>31</v>
      </c>
      <c r="E37" s="22">
        <f t="shared" si="13"/>
        <v>425000.02666666656</v>
      </c>
      <c r="F37" s="22">
        <f>IF(AND(A36="",A38=""),"",IF(A37="",ROUND(SUM($F$29:F36),2),IF(A37=$D$8,$E$28-ROUND(SUM($F$29:F36),2),ROUND($E$28/$D$8,2))))</f>
        <v>8333.33</v>
      </c>
      <c r="G37" s="22">
        <f ca="1">IF(A36=$D$8,ROUND(SUM($G$29:G36),2),IF(A37&gt;$F$8,"",IF(U37&lt;&gt;U36,ROUND(SUM(W37*$F$9*E36/U37,X37*$F$9*E36/U36),2),ROUND(E36*$F$9*D37/U36,2))))</f>
        <v>11037.42</v>
      </c>
      <c r="H37" s="22">
        <f t="shared" ca="1" si="20"/>
        <v>19370.75</v>
      </c>
      <c r="I37" s="22" t="str">
        <f t="shared" si="21"/>
        <v/>
      </c>
      <c r="J37" s="22" t="str">
        <f t="shared" si="22"/>
        <v/>
      </c>
      <c r="K37" s="22" t="str">
        <f t="shared" si="23"/>
        <v/>
      </c>
      <c r="L37" s="22" t="str">
        <f t="shared" si="24"/>
        <v/>
      </c>
      <c r="M37" s="22" t="str">
        <f t="shared" si="25"/>
        <v/>
      </c>
      <c r="N37" s="22" t="str">
        <f t="shared" si="26"/>
        <v/>
      </c>
      <c r="O37" s="22" t="str">
        <f t="shared" si="19"/>
        <v/>
      </c>
      <c r="P37" s="22"/>
      <c r="Q37" s="68" t="str">
        <f>IF(A36=$D$8,XIRR(S$28:S36,C$28:C36),"")</f>
        <v/>
      </c>
      <c r="R37" s="22" t="str">
        <f t="shared" si="4"/>
        <v/>
      </c>
      <c r="S37" s="22">
        <f t="shared" ca="1" si="6"/>
        <v>19370.75</v>
      </c>
      <c r="T37" s="15">
        <f t="shared" ca="1" si="7"/>
        <v>2021</v>
      </c>
      <c r="U37" s="15">
        <f t="shared" ca="1" si="8"/>
        <v>365</v>
      </c>
      <c r="V37" s="15">
        <f t="shared" ca="1" si="9"/>
        <v>1</v>
      </c>
      <c r="W37" s="16">
        <f t="shared" ca="1" si="10"/>
        <v>0</v>
      </c>
      <c r="X37" s="17">
        <f t="shared" ca="1" si="11"/>
        <v>31</v>
      </c>
      <c r="Y37" s="15"/>
    </row>
    <row r="38" spans="1:25" x14ac:dyDescent="0.35">
      <c r="A38" s="25">
        <f t="shared" si="12"/>
        <v>10</v>
      </c>
      <c r="B38" s="21">
        <f ca="1">EDATE($B$28,10)</f>
        <v>44531</v>
      </c>
      <c r="C38" s="21">
        <f t="shared" ca="1" si="5"/>
        <v>44531</v>
      </c>
      <c r="D38" s="25">
        <f t="shared" ca="1" si="2"/>
        <v>30</v>
      </c>
      <c r="E38" s="22">
        <f t="shared" si="13"/>
        <v>416666.69666666654</v>
      </c>
      <c r="F38" s="22">
        <f>IF(AND(A37="",A39=""),"",IF(A38="",ROUND(SUM($F$29:F37),2),IF(A38=$D$8,$E$28-ROUND(SUM($F$29:F37),2),ROUND($E$28/$D$8,2))))</f>
        <v>8333.33</v>
      </c>
      <c r="G38" s="22">
        <f ca="1">IF(A37=$D$8,ROUND(SUM($G$29:G37),2),IF(A38&gt;$F$8,"",IF(U38&lt;&gt;U37,ROUND(SUM(W38*$F$9*E37/U38,X38*$F$9*E37/U37),2),ROUND(E37*$F$9*D38/U37,2))))</f>
        <v>10475.959999999999</v>
      </c>
      <c r="H38" s="22">
        <f t="shared" ca="1" si="20"/>
        <v>18809.29</v>
      </c>
      <c r="I38" s="22" t="str">
        <f t="shared" si="21"/>
        <v/>
      </c>
      <c r="J38" s="22" t="str">
        <f t="shared" si="22"/>
        <v/>
      </c>
      <c r="K38" s="22" t="str">
        <f t="shared" si="23"/>
        <v/>
      </c>
      <c r="L38" s="22" t="str">
        <f t="shared" si="24"/>
        <v/>
      </c>
      <c r="M38" s="22" t="str">
        <f t="shared" si="25"/>
        <v/>
      </c>
      <c r="N38" s="22" t="str">
        <f t="shared" si="26"/>
        <v/>
      </c>
      <c r="O38" s="22" t="str">
        <f t="shared" si="19"/>
        <v/>
      </c>
      <c r="P38" s="22"/>
      <c r="Q38" s="68" t="str">
        <f>IF(A37=$D$8,XIRR(S$28:S37,C$28:C37),"")</f>
        <v/>
      </c>
      <c r="R38" s="22" t="str">
        <f t="shared" si="4"/>
        <v/>
      </c>
      <c r="S38" s="22">
        <f t="shared" ca="1" si="6"/>
        <v>18809.29</v>
      </c>
      <c r="T38" s="15">
        <f t="shared" ca="1" si="7"/>
        <v>2021</v>
      </c>
      <c r="U38" s="15">
        <f t="shared" ca="1" si="8"/>
        <v>365</v>
      </c>
      <c r="V38" s="15">
        <f t="shared" ca="1" si="9"/>
        <v>1</v>
      </c>
      <c r="W38" s="16">
        <f t="shared" ca="1" si="10"/>
        <v>0</v>
      </c>
      <c r="X38" s="17">
        <f t="shared" ca="1" si="11"/>
        <v>30</v>
      </c>
      <c r="Y38" s="15"/>
    </row>
    <row r="39" spans="1:25" x14ac:dyDescent="0.35">
      <c r="A39" s="25">
        <f t="shared" si="12"/>
        <v>11</v>
      </c>
      <c r="B39" s="21">
        <f ca="1">EDATE($B$28,11)</f>
        <v>44562</v>
      </c>
      <c r="C39" s="21">
        <f t="shared" ca="1" si="5"/>
        <v>44562</v>
      </c>
      <c r="D39" s="25">
        <f t="shared" ca="1" si="2"/>
        <v>31</v>
      </c>
      <c r="E39" s="22">
        <f t="shared" si="13"/>
        <v>408333.36666666652</v>
      </c>
      <c r="F39" s="22">
        <f>IF(AND(A38="",A40=""),"",IF(A39="",ROUND(SUM($F$29:F38),2),IF(A39=$D$8,$E$28-ROUND(SUM($F$29:F38),2),ROUND($E$28/$D$8,2))))</f>
        <v>8333.33</v>
      </c>
      <c r="G39" s="22">
        <f ca="1">IF(A38=$D$8,ROUND(SUM($G$29:G38),2),IF(A39&gt;$F$8,"",IF(U39&lt;&gt;U38,ROUND(SUM(W39*$F$9*E38/U39,X39*$F$9*E38/U38),2),ROUND(E38*$F$9*D39/U38,2))))</f>
        <v>10612.9</v>
      </c>
      <c r="H39" s="22">
        <f t="shared" ca="1" si="20"/>
        <v>18946.23</v>
      </c>
      <c r="I39" s="22" t="str">
        <f t="shared" si="21"/>
        <v/>
      </c>
      <c r="J39" s="22" t="str">
        <f t="shared" si="22"/>
        <v/>
      </c>
      <c r="K39" s="22" t="str">
        <f t="shared" si="23"/>
        <v/>
      </c>
      <c r="L39" s="22" t="str">
        <f t="shared" si="24"/>
        <v/>
      </c>
      <c r="M39" s="22" t="str">
        <f t="shared" si="25"/>
        <v/>
      </c>
      <c r="N39" s="22" t="str">
        <f t="shared" si="26"/>
        <v/>
      </c>
      <c r="O39" s="22" t="str">
        <f t="shared" si="19"/>
        <v/>
      </c>
      <c r="P39" s="22"/>
      <c r="Q39" s="68" t="str">
        <f>IF(A38=$D$8,XIRR(S$28:S38,C$28:C38),"")</f>
        <v/>
      </c>
      <c r="R39" s="22" t="str">
        <f t="shared" si="4"/>
        <v/>
      </c>
      <c r="S39" s="22">
        <f t="shared" ca="1" si="6"/>
        <v>18946.23</v>
      </c>
      <c r="T39" s="15">
        <f t="shared" ca="1" si="7"/>
        <v>2022</v>
      </c>
      <c r="U39" s="15">
        <f t="shared" ca="1" si="8"/>
        <v>365</v>
      </c>
      <c r="V39" s="15">
        <f t="shared" ca="1" si="9"/>
        <v>1</v>
      </c>
      <c r="W39" s="16">
        <f t="shared" ca="1" si="10"/>
        <v>0</v>
      </c>
      <c r="X39" s="17">
        <f t="shared" ca="1" si="11"/>
        <v>31</v>
      </c>
      <c r="Y39" s="15"/>
    </row>
    <row r="40" spans="1:25" x14ac:dyDescent="0.35">
      <c r="A40" s="25">
        <f t="shared" si="12"/>
        <v>12</v>
      </c>
      <c r="B40" s="21">
        <f ca="1">EDATE($B$28,12)</f>
        <v>44593</v>
      </c>
      <c r="C40" s="21">
        <f t="shared" ca="1" si="5"/>
        <v>44593</v>
      </c>
      <c r="D40" s="25">
        <f t="shared" ca="1" si="2"/>
        <v>31</v>
      </c>
      <c r="E40" s="22">
        <f t="shared" si="13"/>
        <v>400000.03666666651</v>
      </c>
      <c r="F40" s="22">
        <f>IF(AND(A39="",A41=""),"",IF(A40="",ROUND(SUM($F$29:F39),2),IF(A40=$D$8,$E$28-ROUND(SUM($F$29:F39),2),ROUND($E$28/$D$8,2))))</f>
        <v>8333.33</v>
      </c>
      <c r="G40" s="22">
        <f ca="1">IF(A39=$D$8,ROUND(SUM($G$29:G39),2),IF(A40&gt;$F$8,"",IF(U40&lt;&gt;U39,ROUND(SUM(W40*$F$9*E39/U40,X40*$F$9*E39/U39),2),ROUND(E39*$F$9*D40/U39,2))))</f>
        <v>10400.64</v>
      </c>
      <c r="H40" s="22">
        <f t="shared" ref="H40" ca="1" si="27">IF(A39=$D$8,SUM(H28:H39),IF(A39&gt;$D$8,"",F40+G40))</f>
        <v>18733.97</v>
      </c>
      <c r="I40" s="22" t="str">
        <f t="shared" si="21"/>
        <v/>
      </c>
      <c r="J40" s="22" t="str">
        <f t="shared" si="22"/>
        <v/>
      </c>
      <c r="K40" s="22" t="str">
        <f t="shared" si="23"/>
        <v/>
      </c>
      <c r="L40" s="22" t="str">
        <f t="shared" si="24"/>
        <v/>
      </c>
      <c r="M40" s="22" t="str">
        <f t="shared" si="25"/>
        <v/>
      </c>
      <c r="N40" s="22" t="str">
        <f t="shared" si="26"/>
        <v/>
      </c>
      <c r="O40" s="22" t="str">
        <f t="shared" si="19"/>
        <v/>
      </c>
      <c r="P40" s="22"/>
      <c r="Q40" s="68" t="str">
        <f>IF(A39=$D$8,XIRR(S$28:S39,C$28:C39),"")</f>
        <v/>
      </c>
      <c r="R40" s="22" t="str">
        <f t="shared" si="4"/>
        <v/>
      </c>
      <c r="S40" s="22">
        <f t="shared" ca="1" si="6"/>
        <v>18733.97</v>
      </c>
      <c r="T40" s="15">
        <f t="shared" ca="1" si="7"/>
        <v>2022</v>
      </c>
      <c r="U40" s="15">
        <f t="shared" ca="1" si="8"/>
        <v>365</v>
      </c>
      <c r="V40" s="15">
        <f t="shared" ca="1" si="9"/>
        <v>1</v>
      </c>
      <c r="W40" s="16">
        <f t="shared" ca="1" si="10"/>
        <v>0</v>
      </c>
      <c r="X40" s="17">
        <f t="shared" ca="1" si="11"/>
        <v>31</v>
      </c>
      <c r="Y40" s="15"/>
    </row>
    <row r="41" spans="1:25" x14ac:dyDescent="0.35">
      <c r="A41" s="25">
        <f t="shared" si="12"/>
        <v>13</v>
      </c>
      <c r="B41" s="21">
        <f ca="1">EDATE($B$28,13)</f>
        <v>44621</v>
      </c>
      <c r="C41" s="21">
        <f t="shared" ca="1" si="5"/>
        <v>44621</v>
      </c>
      <c r="D41" s="25">
        <f ca="1">IF(A41&gt;$D$8,"",C41-C40)</f>
        <v>28</v>
      </c>
      <c r="E41" s="22">
        <f>IF(A41&gt;$D$8,"",E40-F41)</f>
        <v>391666.70666666649</v>
      </c>
      <c r="F41" s="22">
        <f>IF(AND(A40="",A42=""),"",IF(A41="",ROUND(SUM($F$29:F40),2),IF(A41=$D$8,$E$28-ROUND(SUM($F$29:F40),2),ROUND($E$28/$D$8,2))))</f>
        <v>8333.33</v>
      </c>
      <c r="G41" s="22">
        <f ca="1">IF(A40=$D$8,ROUND(SUM($G$29:G40),2),IF(A41&gt;$F$8,"",IF(U41&lt;&gt;U40,ROUND(SUM(W41*$F$9*E40/U41,X41*$F$9*E40/U40),2),ROUND(E40*$F$9*D41/U40,2))))</f>
        <v>9202.41</v>
      </c>
      <c r="H41" s="22">
        <f ca="1">IF(A40=$D$8,SUM(H29:H40),IF(A40&gt;$D$8,"",F41+G41))</f>
        <v>17535.739999999998</v>
      </c>
      <c r="I41" s="22" t="str">
        <f t="shared" si="21"/>
        <v/>
      </c>
      <c r="J41" s="22" t="str">
        <f t="shared" si="22"/>
        <v/>
      </c>
      <c r="K41" s="22" t="str">
        <f t="shared" si="23"/>
        <v/>
      </c>
      <c r="L41" s="22" t="str">
        <f t="shared" si="24"/>
        <v/>
      </c>
      <c r="M41" s="22" t="str">
        <f t="shared" si="25"/>
        <v/>
      </c>
      <c r="N41" s="22" t="str">
        <f t="shared" si="26"/>
        <v/>
      </c>
      <c r="O41" s="213">
        <f>IF($F$8&gt;12,($P$17),IF($A$40=$F$8,O28,""))</f>
        <v>2181</v>
      </c>
      <c r="P41" s="22"/>
      <c r="Q41" s="68" t="str">
        <f>IF(A40=$D$8,XIRR(S$28:S40,C$28:C40),"")</f>
        <v/>
      </c>
      <c r="R41" s="22" t="str">
        <f t="shared" si="4"/>
        <v/>
      </c>
      <c r="S41" s="22">
        <f t="shared" ca="1" si="6"/>
        <v>19716.739999999998</v>
      </c>
      <c r="T41" s="15">
        <f t="shared" ca="1" si="7"/>
        <v>2022</v>
      </c>
      <c r="U41" s="15">
        <f t="shared" ca="1" si="8"/>
        <v>365</v>
      </c>
      <c r="V41" s="15">
        <f t="shared" ca="1" si="9"/>
        <v>1</v>
      </c>
      <c r="W41" s="16">
        <f t="shared" ca="1" si="10"/>
        <v>0</v>
      </c>
      <c r="X41" s="17">
        <f t="shared" ca="1" si="11"/>
        <v>28</v>
      </c>
      <c r="Y41" s="15"/>
    </row>
    <row r="42" spans="1:25" x14ac:dyDescent="0.35">
      <c r="A42" s="25">
        <f t="shared" si="12"/>
        <v>14</v>
      </c>
      <c r="B42" s="21">
        <f ca="1">EDATE($B$28,14)</f>
        <v>44652</v>
      </c>
      <c r="C42" s="21">
        <f t="shared" ca="1" si="5"/>
        <v>44652</v>
      </c>
      <c r="D42" s="25">
        <f t="shared" ref="D42:D105" ca="1" si="28">IF(A42&gt;$D$8,"",C42-C41)</f>
        <v>31</v>
      </c>
      <c r="E42" s="22">
        <f t="shared" ref="E42:E105" si="29">IF(A42&gt;$D$8,"",E41-F42)</f>
        <v>383333.37666666647</v>
      </c>
      <c r="F42" s="22">
        <f>IF(AND(A41="",A43=""),"",IF(A42="",ROUND(SUM($F$29:F41),2),IF(A42=$D$8,$E$28-ROUND(SUM($F$29:F41),2),ROUND($E$28/$D$8,2))))</f>
        <v>8333.33</v>
      </c>
      <c r="G42" s="22">
        <f ca="1">IF(A41=$D$8,ROUND(SUM($G$29:G41),2),IF(A42&gt;$F$8,"",IF(U42&lt;&gt;U41,ROUND(SUM(W42*$F$9*E41/U42,X42*$F$9*E41/U41),2),ROUND(E41*$F$9*D42/U41,2))))</f>
        <v>9976.1299999999992</v>
      </c>
      <c r="H42" s="22">
        <f ca="1">IF(A41=$D$8,SUM($H$29:H41),IF(A41&gt;$D$8,"",F42+G42))</f>
        <v>18309.46</v>
      </c>
      <c r="I42" s="22" t="str">
        <f t="shared" si="21"/>
        <v/>
      </c>
      <c r="J42" s="22" t="str">
        <f t="shared" si="22"/>
        <v/>
      </c>
      <c r="K42" s="22" t="str">
        <f t="shared" si="23"/>
        <v/>
      </c>
      <c r="L42" s="22" t="str">
        <f t="shared" si="24"/>
        <v/>
      </c>
      <c r="M42" s="22" t="str">
        <f t="shared" si="25"/>
        <v/>
      </c>
      <c r="N42" s="22" t="str">
        <f t="shared" si="26"/>
        <v/>
      </c>
      <c r="O42" s="22" t="str">
        <f t="shared" ref="O42:O88" si="30">IF(A41=$D$8,$O$28,"")</f>
        <v/>
      </c>
      <c r="P42" s="22"/>
      <c r="Q42" s="68" t="str">
        <f>IF(A41=$D$8,XIRR(S$28:S41,C$28:C41),"")</f>
        <v/>
      </c>
      <c r="R42" s="22" t="str">
        <f t="shared" si="4"/>
        <v/>
      </c>
      <c r="S42" s="22">
        <f t="shared" ca="1" si="6"/>
        <v>18309.46</v>
      </c>
      <c r="T42" s="15">
        <f t="shared" ca="1" si="7"/>
        <v>2022</v>
      </c>
      <c r="U42" s="15">
        <f t="shared" ca="1" si="8"/>
        <v>365</v>
      </c>
      <c r="V42" s="15">
        <f t="shared" ca="1" si="9"/>
        <v>1</v>
      </c>
      <c r="W42" s="16">
        <f t="shared" ca="1" si="10"/>
        <v>0</v>
      </c>
      <c r="X42" s="17">
        <f t="shared" ca="1" si="11"/>
        <v>31</v>
      </c>
      <c r="Y42" s="15"/>
    </row>
    <row r="43" spans="1:25" x14ac:dyDescent="0.35">
      <c r="A43" s="25">
        <f t="shared" si="12"/>
        <v>15</v>
      </c>
      <c r="B43" s="21">
        <f ca="1">EDATE($B$28,15)</f>
        <v>44682</v>
      </c>
      <c r="C43" s="21">
        <f t="shared" ca="1" si="5"/>
        <v>44682</v>
      </c>
      <c r="D43" s="25">
        <f t="shared" ca="1" si="28"/>
        <v>30</v>
      </c>
      <c r="E43" s="22">
        <f t="shared" si="29"/>
        <v>375000.04666666646</v>
      </c>
      <c r="F43" s="22">
        <f>IF(AND(A42="",A44=""),"",IF(A43="",ROUND(SUM($F$29:F42),2),IF(A43=$D$8,$E$28-ROUND(SUM($F$29:F42),2),ROUND($E$28/$D$8,2))))</f>
        <v>8333.33</v>
      </c>
      <c r="G43" s="22">
        <f ca="1">IF(A42=$D$8,ROUND(SUM($G$29:G42),2),IF(A43&gt;$F$8,"",IF(U43&lt;&gt;U42,ROUND(SUM(W43*$F$9*E42/U43,X43*$F$9*E42/U42),2),ROUND(E42*$F$9*D43/U42,2))))</f>
        <v>9448.91</v>
      </c>
      <c r="H43" s="22">
        <f ca="1">IF(A42=$D$8,SUM($H$29:H42),IF(A42&gt;$D$8,"",F43+G43))</f>
        <v>17782.239999999998</v>
      </c>
      <c r="I43" s="22" t="str">
        <f t="shared" si="21"/>
        <v/>
      </c>
      <c r="J43" s="22" t="str">
        <f t="shared" si="22"/>
        <v/>
      </c>
      <c r="K43" s="22" t="str">
        <f t="shared" si="23"/>
        <v/>
      </c>
      <c r="L43" s="22" t="str">
        <f t="shared" si="24"/>
        <v/>
      </c>
      <c r="M43" s="22" t="str">
        <f t="shared" si="25"/>
        <v/>
      </c>
      <c r="N43" s="22" t="str">
        <f t="shared" si="26"/>
        <v/>
      </c>
      <c r="O43" s="22" t="str">
        <f t="shared" si="30"/>
        <v/>
      </c>
      <c r="P43" s="22"/>
      <c r="Q43" s="68" t="str">
        <f>IF(A42=$D$8,XIRR(S$28:S42,C$28:C42),"")</f>
        <v/>
      </c>
      <c r="R43" s="22" t="str">
        <f t="shared" si="4"/>
        <v/>
      </c>
      <c r="S43" s="22">
        <f t="shared" ca="1" si="6"/>
        <v>17782.239999999998</v>
      </c>
      <c r="T43" s="15">
        <f t="shared" ca="1" si="7"/>
        <v>2022</v>
      </c>
      <c r="U43" s="15">
        <f t="shared" ca="1" si="8"/>
        <v>365</v>
      </c>
      <c r="V43" s="15">
        <f t="shared" ca="1" si="9"/>
        <v>1</v>
      </c>
      <c r="W43" s="16">
        <f t="shared" ca="1" si="10"/>
        <v>0</v>
      </c>
      <c r="X43" s="17">
        <f t="shared" ca="1" si="11"/>
        <v>30</v>
      </c>
      <c r="Y43" s="15"/>
    </row>
    <row r="44" spans="1:25" x14ac:dyDescent="0.35">
      <c r="A44" s="25">
        <f t="shared" si="12"/>
        <v>16</v>
      </c>
      <c r="B44" s="21">
        <f ca="1">EDATE($B$28,16)</f>
        <v>44713</v>
      </c>
      <c r="C44" s="21">
        <f t="shared" ca="1" si="5"/>
        <v>44713</v>
      </c>
      <c r="D44" s="25">
        <f t="shared" ca="1" si="28"/>
        <v>31</v>
      </c>
      <c r="E44" s="22">
        <f t="shared" si="29"/>
        <v>366666.71666666644</v>
      </c>
      <c r="F44" s="22">
        <f>IF(AND(A43="",A45=""),"",IF(A44="",ROUND(SUM($F$29:F43),2),IF(A44=$D$8,$E$28-ROUND(SUM($F$29:F43),2),ROUND($E$28/$D$8,2))))</f>
        <v>8333.33</v>
      </c>
      <c r="G44" s="22">
        <f ca="1">IF(A43=$D$8,ROUND(SUM($G$29:G43),2),IF(A44&gt;$F$8,"",IF(U44&lt;&gt;U43,ROUND(SUM(W44*$F$9*E43/U44,X44*$F$9*E43/U43),2),ROUND(E43*$F$9*D44/U43,2))))</f>
        <v>9551.61</v>
      </c>
      <c r="H44" s="22">
        <f ca="1">IF(A43=$D$8,SUM($H$29:H43),IF(A43&gt;$D$8,"",F44+G44))</f>
        <v>17884.940000000002</v>
      </c>
      <c r="I44" s="22" t="str">
        <f t="shared" si="21"/>
        <v/>
      </c>
      <c r="J44" s="22">
        <v>0</v>
      </c>
      <c r="K44" s="22" t="str">
        <f t="shared" si="23"/>
        <v/>
      </c>
      <c r="L44" s="22" t="str">
        <f t="shared" si="24"/>
        <v/>
      </c>
      <c r="M44" s="22" t="str">
        <f t="shared" si="25"/>
        <v/>
      </c>
      <c r="N44" s="22" t="str">
        <f t="shared" si="26"/>
        <v/>
      </c>
      <c r="O44" s="22" t="str">
        <f t="shared" si="30"/>
        <v/>
      </c>
      <c r="P44" s="22"/>
      <c r="Q44" s="68" t="str">
        <f>IF(A43=$D$8,XIRR(S$28:S43,C$28:C43),"")</f>
        <v/>
      </c>
      <c r="R44" s="22" t="str">
        <f t="shared" si="4"/>
        <v/>
      </c>
      <c r="S44" s="22">
        <f t="shared" ca="1" si="6"/>
        <v>17884.940000000002</v>
      </c>
      <c r="T44" s="15">
        <f t="shared" ca="1" si="7"/>
        <v>2022</v>
      </c>
      <c r="U44" s="15">
        <f t="shared" ca="1" si="8"/>
        <v>365</v>
      </c>
      <c r="V44" s="15">
        <f t="shared" ca="1" si="9"/>
        <v>1</v>
      </c>
      <c r="W44" s="16">
        <f t="shared" ca="1" si="10"/>
        <v>0</v>
      </c>
      <c r="X44" s="17">
        <f t="shared" ca="1" si="11"/>
        <v>31</v>
      </c>
      <c r="Y44" s="15"/>
    </row>
    <row r="45" spans="1:25" x14ac:dyDescent="0.35">
      <c r="A45" s="25">
        <f t="shared" si="12"/>
        <v>17</v>
      </c>
      <c r="B45" s="21">
        <f ca="1">EDATE($B$28,17)</f>
        <v>44743</v>
      </c>
      <c r="C45" s="21">
        <f t="shared" ca="1" si="5"/>
        <v>44743</v>
      </c>
      <c r="D45" s="25">
        <f t="shared" ca="1" si="28"/>
        <v>30</v>
      </c>
      <c r="E45" s="22">
        <f t="shared" si="29"/>
        <v>358333.38666666643</v>
      </c>
      <c r="F45" s="22">
        <f>IF(AND(A44="",A46=""),"",IF(A45="",ROUND(SUM($F$29:F44),2),IF(A45=$D$8,$E$28-ROUND(SUM($F$29:F44),2),ROUND($E$28/$D$8,2))))</f>
        <v>8333.33</v>
      </c>
      <c r="G45" s="22">
        <f ca="1">IF(A44=$D$8,ROUND(SUM($G$29:G44),2),IF(A45&gt;$F$8,"",IF(U45&lt;&gt;U44,ROUND(SUM(W45*$F$9*E44/U45,X45*$F$9*E44/U44),2),ROUND(E44*$F$9*D45/U44,2))))</f>
        <v>9038.08</v>
      </c>
      <c r="H45" s="22">
        <f ca="1">IF(A44=$D$8,SUM($H$29:H44),IF(A44&gt;$D$8,"",F45+G45))</f>
        <v>17371.41</v>
      </c>
      <c r="I45" s="22" t="str">
        <f t="shared" si="21"/>
        <v/>
      </c>
      <c r="J45" s="22" t="str">
        <f t="shared" si="22"/>
        <v/>
      </c>
      <c r="K45" s="22" t="str">
        <f t="shared" si="23"/>
        <v/>
      </c>
      <c r="L45" s="22" t="str">
        <f t="shared" si="24"/>
        <v/>
      </c>
      <c r="M45" s="22" t="str">
        <f t="shared" si="25"/>
        <v/>
      </c>
      <c r="N45" s="22" t="str">
        <f t="shared" si="26"/>
        <v/>
      </c>
      <c r="O45" s="22" t="str">
        <f t="shared" si="30"/>
        <v/>
      </c>
      <c r="P45" s="22"/>
      <c r="Q45" s="68" t="str">
        <f>IF(A44=$D$8,XIRR(S$28:S44,C$28:C44),"")</f>
        <v/>
      </c>
      <c r="R45" s="22" t="str">
        <f t="shared" si="4"/>
        <v/>
      </c>
      <c r="S45" s="22">
        <f t="shared" ca="1" si="6"/>
        <v>17371.41</v>
      </c>
      <c r="T45" s="15">
        <f t="shared" ca="1" si="7"/>
        <v>2022</v>
      </c>
      <c r="U45" s="15">
        <f t="shared" ca="1" si="8"/>
        <v>365</v>
      </c>
      <c r="V45" s="15">
        <f t="shared" ca="1" si="9"/>
        <v>1</v>
      </c>
      <c r="W45" s="16">
        <f t="shared" ca="1" si="10"/>
        <v>0</v>
      </c>
      <c r="X45" s="17">
        <f t="shared" ca="1" si="11"/>
        <v>30</v>
      </c>
      <c r="Y45" s="15"/>
    </row>
    <row r="46" spans="1:25" x14ac:dyDescent="0.35">
      <c r="A46" s="25">
        <f t="shared" si="12"/>
        <v>18</v>
      </c>
      <c r="B46" s="21">
        <f ca="1">EDATE($B$28,18)</f>
        <v>44774</v>
      </c>
      <c r="C46" s="21">
        <f t="shared" ca="1" si="5"/>
        <v>44774</v>
      </c>
      <c r="D46" s="25">
        <f t="shared" ca="1" si="28"/>
        <v>31</v>
      </c>
      <c r="E46" s="22">
        <f t="shared" si="29"/>
        <v>350000.05666666641</v>
      </c>
      <c r="F46" s="22">
        <f>IF(AND(A45="",A47=""),"",IF(A46="",ROUND(SUM($F$29:F45),2),IF(A46=$D$8,$E$28-ROUND(SUM($F$29:F45),2),ROUND($E$28/$D$8,2))))</f>
        <v>8333.33</v>
      </c>
      <c r="G46" s="22">
        <f ca="1">IF(A45=$D$8,ROUND(SUM($G$29:G45),2),IF(A46&gt;$F$8,"",IF(U46&lt;&gt;U45,ROUND(SUM(W46*$F$9*E45/U46,X46*$F$9*E45/U45),2),ROUND(E45*$F$9*D46/U45,2))))</f>
        <v>9127.09</v>
      </c>
      <c r="H46" s="22">
        <f ca="1">IF(A45=$D$8,SUM($H$29:H45),IF(A45&gt;$D$8,"",F46+G46))</f>
        <v>17460.419999999998</v>
      </c>
      <c r="I46" s="22" t="str">
        <f t="shared" si="21"/>
        <v/>
      </c>
      <c r="J46" s="22" t="str">
        <f t="shared" si="22"/>
        <v/>
      </c>
      <c r="K46" s="22" t="str">
        <f t="shared" si="23"/>
        <v/>
      </c>
      <c r="L46" s="22" t="str">
        <f t="shared" si="24"/>
        <v/>
      </c>
      <c r="M46" s="22" t="str">
        <f t="shared" si="25"/>
        <v/>
      </c>
      <c r="N46" s="22" t="str">
        <f t="shared" si="26"/>
        <v/>
      </c>
      <c r="O46" s="22" t="str">
        <f t="shared" si="30"/>
        <v/>
      </c>
      <c r="P46" s="22"/>
      <c r="Q46" s="68" t="str">
        <f>IF(A45=$D$8,XIRR(S$28:S45,C$28:C45),"")</f>
        <v/>
      </c>
      <c r="R46" s="22" t="str">
        <f t="shared" si="4"/>
        <v/>
      </c>
      <c r="S46" s="22">
        <f t="shared" ca="1" si="6"/>
        <v>17460.419999999998</v>
      </c>
      <c r="T46" s="15">
        <f t="shared" ca="1" si="7"/>
        <v>2022</v>
      </c>
      <c r="U46" s="15">
        <f t="shared" ca="1" si="8"/>
        <v>365</v>
      </c>
      <c r="V46" s="15">
        <f t="shared" ca="1" si="9"/>
        <v>1</v>
      </c>
      <c r="W46" s="16">
        <f t="shared" ca="1" si="10"/>
        <v>0</v>
      </c>
      <c r="X46" s="17">
        <f t="shared" ca="1" si="11"/>
        <v>31</v>
      </c>
      <c r="Y46" s="15"/>
    </row>
    <row r="47" spans="1:25" x14ac:dyDescent="0.35">
      <c r="A47" s="25">
        <f t="shared" si="12"/>
        <v>19</v>
      </c>
      <c r="B47" s="21">
        <f ca="1">EDATE($B$28,19)</f>
        <v>44805</v>
      </c>
      <c r="C47" s="21">
        <f t="shared" ca="1" si="5"/>
        <v>44805</v>
      </c>
      <c r="D47" s="25">
        <f t="shared" ca="1" si="28"/>
        <v>31</v>
      </c>
      <c r="E47" s="22">
        <f t="shared" si="29"/>
        <v>341666.72666666639</v>
      </c>
      <c r="F47" s="22">
        <f>IF(AND(A46="",A48=""),"",IF(A47="",ROUND(SUM($F$29:F46),2),IF(A47=$D$8,$E$28-ROUND(SUM($F$29:F46),2),ROUND($E$28/$D$8,2))))</f>
        <v>8333.33</v>
      </c>
      <c r="G47" s="22">
        <f ca="1">IF(A46=$D$8,ROUND(SUM($G$29:G46),2),IF(A47&gt;$F$8,"",IF(U47&lt;&gt;U46,ROUND(SUM(W47*$F$9*E46/U47,X47*$F$9*E46/U46),2),ROUND(E46*$F$9*D47/U46,2))))</f>
        <v>8914.84</v>
      </c>
      <c r="H47" s="22">
        <f ca="1">IF(A46=$D$8,SUM($H$29:H46),IF(A46&gt;$D$8,"",F47+G47))</f>
        <v>17248.169999999998</v>
      </c>
      <c r="I47" s="22" t="str">
        <f t="shared" si="21"/>
        <v/>
      </c>
      <c r="J47" s="22" t="str">
        <f t="shared" si="22"/>
        <v/>
      </c>
      <c r="K47" s="22" t="str">
        <f t="shared" si="23"/>
        <v/>
      </c>
      <c r="L47" s="22" t="str">
        <f t="shared" si="24"/>
        <v/>
      </c>
      <c r="M47" s="22" t="str">
        <f t="shared" si="25"/>
        <v/>
      </c>
      <c r="N47" s="22" t="str">
        <f t="shared" si="26"/>
        <v/>
      </c>
      <c r="O47" s="22" t="str">
        <f t="shared" si="30"/>
        <v/>
      </c>
      <c r="P47" s="22"/>
      <c r="Q47" s="68" t="str">
        <f>IF(A46=$D$8,XIRR(S$28:S46,C$28:C46),"")</f>
        <v/>
      </c>
      <c r="R47" s="22" t="str">
        <f t="shared" si="4"/>
        <v/>
      </c>
      <c r="S47" s="22">
        <f t="shared" ca="1" si="6"/>
        <v>17248.169999999998</v>
      </c>
      <c r="T47" s="15">
        <f t="shared" ca="1" si="7"/>
        <v>2022</v>
      </c>
      <c r="U47" s="15">
        <f t="shared" ca="1" si="8"/>
        <v>365</v>
      </c>
      <c r="V47" s="15">
        <f t="shared" ca="1" si="9"/>
        <v>1</v>
      </c>
      <c r="W47" s="16">
        <f t="shared" ca="1" si="10"/>
        <v>0</v>
      </c>
      <c r="X47" s="17">
        <f t="shared" ca="1" si="11"/>
        <v>31</v>
      </c>
      <c r="Y47" s="15"/>
    </row>
    <row r="48" spans="1:25" x14ac:dyDescent="0.35">
      <c r="A48" s="25">
        <f t="shared" si="12"/>
        <v>20</v>
      </c>
      <c r="B48" s="21">
        <f ca="1">EDATE($B$28,20)</f>
        <v>44835</v>
      </c>
      <c r="C48" s="21">
        <f t="shared" ca="1" si="5"/>
        <v>44835</v>
      </c>
      <c r="D48" s="25">
        <f t="shared" ca="1" si="28"/>
        <v>30</v>
      </c>
      <c r="E48" s="22">
        <f t="shared" si="29"/>
        <v>333333.39666666638</v>
      </c>
      <c r="F48" s="22">
        <f>IF(AND(A47="",A49=""),"",IF(A48="",ROUND(SUM($F$29:F47),2),IF(A48=$D$8,$E$28-ROUND(SUM($F$29:F47),2),ROUND($E$28/$D$8,2))))</f>
        <v>8333.33</v>
      </c>
      <c r="G48" s="22">
        <f ca="1">IF(A47=$D$8,ROUND(SUM($G$29:G47),2),IF(A48&gt;$F$8,"",IF(U48&lt;&gt;U47,ROUND(SUM(W48*$F$9*E47/U48,X48*$F$9*E47/U47),2),ROUND(E47*$F$9*D48/U47,2))))</f>
        <v>8421.85</v>
      </c>
      <c r="H48" s="22">
        <f ca="1">IF(A47=$D$8,SUM($H$29:H47),IF(A47&gt;$D$8,"",F48+G48))</f>
        <v>16755.18</v>
      </c>
      <c r="I48" s="22" t="str">
        <f t="shared" si="21"/>
        <v/>
      </c>
      <c r="J48" s="22" t="str">
        <f t="shared" si="22"/>
        <v/>
      </c>
      <c r="K48" s="22" t="str">
        <f t="shared" si="23"/>
        <v/>
      </c>
      <c r="L48" s="22" t="str">
        <f t="shared" si="24"/>
        <v/>
      </c>
      <c r="M48" s="22" t="str">
        <f t="shared" si="25"/>
        <v/>
      </c>
      <c r="N48" s="22" t="str">
        <f t="shared" si="26"/>
        <v/>
      </c>
      <c r="O48" s="22" t="str">
        <f t="shared" si="30"/>
        <v/>
      </c>
      <c r="P48" s="22"/>
      <c r="Q48" s="68" t="str">
        <f>IF(A47=$D$8,XIRR(S$28:S47,C$28:C47),"")</f>
        <v/>
      </c>
      <c r="R48" s="22" t="str">
        <f t="shared" si="4"/>
        <v/>
      </c>
      <c r="S48" s="22">
        <f t="shared" ca="1" si="6"/>
        <v>16755.18</v>
      </c>
      <c r="T48" s="15">
        <f t="shared" ca="1" si="7"/>
        <v>2022</v>
      </c>
      <c r="U48" s="15">
        <f t="shared" ca="1" si="8"/>
        <v>365</v>
      </c>
      <c r="V48" s="15">
        <f t="shared" ca="1" si="9"/>
        <v>1</v>
      </c>
      <c r="W48" s="16">
        <f t="shared" ca="1" si="10"/>
        <v>0</v>
      </c>
      <c r="X48" s="17">
        <f t="shared" ca="1" si="11"/>
        <v>30</v>
      </c>
      <c r="Y48" s="15"/>
    </row>
    <row r="49" spans="1:25" x14ac:dyDescent="0.35">
      <c r="A49" s="25">
        <f t="shared" si="12"/>
        <v>21</v>
      </c>
      <c r="B49" s="21">
        <f ca="1">EDATE($B$28,21)</f>
        <v>44866</v>
      </c>
      <c r="C49" s="21">
        <f t="shared" ca="1" si="5"/>
        <v>44866</v>
      </c>
      <c r="D49" s="25">
        <f t="shared" ca="1" si="28"/>
        <v>31</v>
      </c>
      <c r="E49" s="22">
        <f t="shared" si="29"/>
        <v>325000.06666666636</v>
      </c>
      <c r="F49" s="22">
        <f>IF(AND(A48="",A50=""),"",IF(A49="",ROUND(SUM($F$29:F48),2),IF(A49=$D$8,$E$28-ROUND(SUM($F$29:F48),2),ROUND($E$28/$D$8,2))))</f>
        <v>8333.33</v>
      </c>
      <c r="G49" s="22">
        <f ca="1">IF(A48=$D$8,ROUND(SUM($G$29:G48),2),IF(A49&gt;$F$8,"",IF(U49&lt;&gt;U48,ROUND(SUM(W49*$F$9*E48/U49,X49*$F$9*E48/U48),2),ROUND(E48*$F$9*D49/U48,2))))</f>
        <v>8490.32</v>
      </c>
      <c r="H49" s="22">
        <f ca="1">IF(A48=$D$8,SUM($H$29:H48),IF(A48&gt;$D$8,"",F49+G49))</f>
        <v>16823.650000000001</v>
      </c>
      <c r="I49" s="22" t="str">
        <f t="shared" si="21"/>
        <v/>
      </c>
      <c r="J49" s="22" t="str">
        <f t="shared" si="22"/>
        <v/>
      </c>
      <c r="K49" s="22" t="str">
        <f t="shared" si="23"/>
        <v/>
      </c>
      <c r="L49" s="22" t="str">
        <f t="shared" si="24"/>
        <v/>
      </c>
      <c r="M49" s="22" t="str">
        <f t="shared" si="25"/>
        <v/>
      </c>
      <c r="N49" s="22" t="str">
        <f t="shared" si="26"/>
        <v/>
      </c>
      <c r="O49" s="22" t="str">
        <f t="shared" si="30"/>
        <v/>
      </c>
      <c r="P49" s="22"/>
      <c r="Q49" s="68" t="str">
        <f>IF(A48=$D$8,XIRR(S$28:S48,C$28:C48),"")</f>
        <v/>
      </c>
      <c r="R49" s="22" t="str">
        <f t="shared" si="4"/>
        <v/>
      </c>
      <c r="S49" s="22">
        <f t="shared" ca="1" si="6"/>
        <v>16823.650000000001</v>
      </c>
      <c r="T49" s="15">
        <f t="shared" ca="1" si="7"/>
        <v>2022</v>
      </c>
      <c r="U49" s="15">
        <f t="shared" ca="1" si="8"/>
        <v>365</v>
      </c>
      <c r="V49" s="15">
        <f t="shared" ca="1" si="9"/>
        <v>1</v>
      </c>
      <c r="W49" s="16">
        <f t="shared" ca="1" si="10"/>
        <v>0</v>
      </c>
      <c r="X49" s="17">
        <f t="shared" ca="1" si="11"/>
        <v>31</v>
      </c>
      <c r="Y49" s="15"/>
    </row>
    <row r="50" spans="1:25" x14ac:dyDescent="0.35">
      <c r="A50" s="25">
        <f t="shared" si="12"/>
        <v>22</v>
      </c>
      <c r="B50" s="21">
        <f ca="1">EDATE($B$28,22)</f>
        <v>44896</v>
      </c>
      <c r="C50" s="21">
        <f t="shared" ca="1" si="5"/>
        <v>44896</v>
      </c>
      <c r="D50" s="25">
        <f t="shared" ca="1" si="28"/>
        <v>30</v>
      </c>
      <c r="E50" s="22">
        <f t="shared" si="29"/>
        <v>316666.73666666634</v>
      </c>
      <c r="F50" s="22">
        <f>IF(AND(A49="",A51=""),"",IF(A50="",ROUND(SUM($F$29:F49),2),IF(A50=$D$8,$E$28-ROUND(SUM($F$29:F49),2),ROUND($E$28/$D$8,2))))</f>
        <v>8333.33</v>
      </c>
      <c r="G50" s="22">
        <f ca="1">IF(A49=$D$8,ROUND(SUM($G$29:G49),2),IF(A50&gt;$F$8,"",IF(U50&lt;&gt;U49,ROUND(SUM(W50*$F$9*E49/U50,X50*$F$9*E49/U49),2),ROUND(E49*$F$9*D50/U49,2))))</f>
        <v>8011.03</v>
      </c>
      <c r="H50" s="22">
        <f ca="1">IF(A49=$D$8,SUM($H$29:H49),IF(A49&gt;$D$8,"",F50+G50))</f>
        <v>16344.36</v>
      </c>
      <c r="I50" s="22" t="str">
        <f t="shared" si="21"/>
        <v/>
      </c>
      <c r="J50" s="22" t="str">
        <f t="shared" si="22"/>
        <v/>
      </c>
      <c r="K50" s="22" t="str">
        <f t="shared" si="23"/>
        <v/>
      </c>
      <c r="L50" s="22" t="str">
        <f t="shared" si="24"/>
        <v/>
      </c>
      <c r="M50" s="22" t="str">
        <f t="shared" si="25"/>
        <v/>
      </c>
      <c r="N50" s="22" t="str">
        <f t="shared" si="26"/>
        <v/>
      </c>
      <c r="O50" s="22" t="str">
        <f t="shared" si="30"/>
        <v/>
      </c>
      <c r="P50" s="22"/>
      <c r="Q50" s="68" t="str">
        <f>IF(A49=$D$8,XIRR(S$28:S49,C$28:C49),"")</f>
        <v/>
      </c>
      <c r="R50" s="22" t="str">
        <f t="shared" si="4"/>
        <v/>
      </c>
      <c r="S50" s="22">
        <f t="shared" ca="1" si="6"/>
        <v>16344.36</v>
      </c>
      <c r="T50" s="15">
        <f t="shared" ca="1" si="7"/>
        <v>2022</v>
      </c>
      <c r="U50" s="15">
        <f t="shared" ca="1" si="8"/>
        <v>365</v>
      </c>
      <c r="V50" s="15">
        <f t="shared" ca="1" si="9"/>
        <v>1</v>
      </c>
      <c r="W50" s="16">
        <f t="shared" ca="1" si="10"/>
        <v>0</v>
      </c>
      <c r="X50" s="17">
        <f t="shared" ca="1" si="11"/>
        <v>30</v>
      </c>
      <c r="Y50" s="15"/>
    </row>
    <row r="51" spans="1:25" x14ac:dyDescent="0.35">
      <c r="A51" s="25">
        <f t="shared" si="12"/>
        <v>23</v>
      </c>
      <c r="B51" s="21">
        <f ca="1">EDATE($B$28,23)</f>
        <v>44927</v>
      </c>
      <c r="C51" s="21">
        <f t="shared" ca="1" si="5"/>
        <v>44927</v>
      </c>
      <c r="D51" s="25">
        <f t="shared" ca="1" si="28"/>
        <v>31</v>
      </c>
      <c r="E51" s="22">
        <f t="shared" si="29"/>
        <v>308333.40666666633</v>
      </c>
      <c r="F51" s="22">
        <f>IF(AND(A50="",A52=""),"",IF(A51="",ROUND(SUM($F$29:F50),2),IF(A51=$D$8,$E$28-ROUND(SUM($F$29:F50),2),ROUND($E$28/$D$8,2))))</f>
        <v>8333.33</v>
      </c>
      <c r="G51" s="22">
        <f ca="1">IF(A50=$D$8,ROUND(SUM($G$29:G50),2),IF(A51&gt;$F$8,"",IF(U51&lt;&gt;U50,ROUND(SUM(W51*$F$9*E50/U51,X51*$F$9*E50/U50),2),ROUND(E50*$F$9*D51/U50,2))))</f>
        <v>8065.81</v>
      </c>
      <c r="H51" s="22">
        <f ca="1">IF(A50=$D$8,SUM($H$29:H50),IF(A50&gt;$D$8,"",F51+G51))</f>
        <v>16399.14</v>
      </c>
      <c r="I51" s="22" t="str">
        <f t="shared" si="21"/>
        <v/>
      </c>
      <c r="J51" s="22" t="str">
        <f t="shared" si="22"/>
        <v/>
      </c>
      <c r="K51" s="22" t="str">
        <f t="shared" si="23"/>
        <v/>
      </c>
      <c r="L51" s="22" t="str">
        <f t="shared" si="24"/>
        <v/>
      </c>
      <c r="M51" s="22" t="str">
        <f t="shared" si="25"/>
        <v/>
      </c>
      <c r="N51" s="22" t="str">
        <f t="shared" si="26"/>
        <v/>
      </c>
      <c r="O51" s="22" t="str">
        <f t="shared" si="30"/>
        <v/>
      </c>
      <c r="P51" s="22"/>
      <c r="Q51" s="68" t="str">
        <f>IF(A50=$D$8,XIRR(S$28:S50,C$28:C50),"")</f>
        <v/>
      </c>
      <c r="R51" s="22" t="str">
        <f t="shared" si="4"/>
        <v/>
      </c>
      <c r="S51" s="22">
        <f t="shared" ca="1" si="6"/>
        <v>16399.14</v>
      </c>
      <c r="T51" s="15">
        <f t="shared" ca="1" si="7"/>
        <v>2023</v>
      </c>
      <c r="U51" s="15">
        <f t="shared" ca="1" si="8"/>
        <v>365</v>
      </c>
      <c r="V51" s="15">
        <f t="shared" ca="1" si="9"/>
        <v>1</v>
      </c>
      <c r="W51" s="16">
        <f t="shared" ca="1" si="10"/>
        <v>0</v>
      </c>
      <c r="X51" s="17">
        <f t="shared" ca="1" si="11"/>
        <v>31</v>
      </c>
      <c r="Y51" s="15"/>
    </row>
    <row r="52" spans="1:25" x14ac:dyDescent="0.35">
      <c r="A52" s="25">
        <f t="shared" si="12"/>
        <v>24</v>
      </c>
      <c r="B52" s="21">
        <f ca="1">EDATE($B$28,24)</f>
        <v>44958</v>
      </c>
      <c r="C52" s="21">
        <f t="shared" ca="1" si="5"/>
        <v>44958</v>
      </c>
      <c r="D52" s="25">
        <f t="shared" ca="1" si="28"/>
        <v>31</v>
      </c>
      <c r="E52" s="22">
        <f t="shared" si="29"/>
        <v>300000.07666666631</v>
      </c>
      <c r="F52" s="22">
        <f>IF(AND(A51="",A53=""),"",IF(A52="",ROUND(SUM($F$29:F51),2),IF(A52=$D$8,$E$28-ROUND(SUM($F$29:F51),2),ROUND($E$28/$D$8,2))))</f>
        <v>8333.33</v>
      </c>
      <c r="G52" s="22">
        <f ca="1">IF(A51=$D$8,ROUND(SUM($G$29:G51),2),IF(A52&gt;$F$8,"",IF(U52&lt;&gt;U51,ROUND(SUM(W52*$F$9*E51/U52,X52*$F$9*E51/U51),2),ROUND(E51*$F$9*D52/U51,2))))</f>
        <v>7853.55</v>
      </c>
      <c r="H52" s="22">
        <f ca="1">IF(A51=$D$8,SUM($H$29:H51),IF(A51&gt;$D$8,"",F52+G52))</f>
        <v>16186.880000000001</v>
      </c>
      <c r="I52" s="22" t="str">
        <f t="shared" si="21"/>
        <v/>
      </c>
      <c r="J52" s="22" t="str">
        <f t="shared" si="22"/>
        <v/>
      </c>
      <c r="K52" s="22" t="str">
        <f t="shared" si="23"/>
        <v/>
      </c>
      <c r="L52" s="22" t="str">
        <f t="shared" si="24"/>
        <v/>
      </c>
      <c r="M52" s="22" t="str">
        <f t="shared" si="25"/>
        <v/>
      </c>
      <c r="N52" s="22" t="str">
        <f t="shared" si="26"/>
        <v/>
      </c>
      <c r="O52" s="22" t="str">
        <f t="shared" si="30"/>
        <v/>
      </c>
      <c r="P52" s="22"/>
      <c r="Q52" s="68" t="str">
        <f>IF(A51=$D$8,XIRR(S$28:S51,C$28:C51),"")</f>
        <v/>
      </c>
      <c r="R52" s="22" t="str">
        <f t="shared" si="4"/>
        <v/>
      </c>
      <c r="S52" s="22">
        <f t="shared" ca="1" si="6"/>
        <v>16186.880000000001</v>
      </c>
      <c r="T52" s="15">
        <f t="shared" ca="1" si="7"/>
        <v>2023</v>
      </c>
      <c r="U52" s="15">
        <f t="shared" ca="1" si="8"/>
        <v>365</v>
      </c>
      <c r="V52" s="15">
        <f t="shared" ca="1" si="9"/>
        <v>1</v>
      </c>
      <c r="W52" s="16">
        <f t="shared" ca="1" si="10"/>
        <v>0</v>
      </c>
      <c r="X52" s="17">
        <f t="shared" ca="1" si="11"/>
        <v>31</v>
      </c>
      <c r="Y52" s="15"/>
    </row>
    <row r="53" spans="1:25" x14ac:dyDescent="0.35">
      <c r="A53" s="25">
        <f t="shared" si="12"/>
        <v>25</v>
      </c>
      <c r="B53" s="21">
        <f ca="1">EDATE($B$28,25)</f>
        <v>44986</v>
      </c>
      <c r="C53" s="21">
        <f t="shared" ca="1" si="5"/>
        <v>44986</v>
      </c>
      <c r="D53" s="25">
        <f t="shared" ca="1" si="28"/>
        <v>28</v>
      </c>
      <c r="E53" s="22">
        <f t="shared" si="29"/>
        <v>291666.74666666629</v>
      </c>
      <c r="F53" s="22">
        <f>IF(AND(A52="",A54=""),"",IF(A53="",ROUND(SUM($F$29:F52),2),IF(A53=$D$8,$E$28-ROUND(SUM($F$29:F52),2),ROUND($E$28/$D$8,2))))</f>
        <v>8333.33</v>
      </c>
      <c r="G53" s="22">
        <f ca="1">IF(A52=$D$8,ROUND(SUM($G$29:G52),2),IF(A53&gt;$F$8,"",IF(U53&lt;&gt;U52,ROUND(SUM(W53*$F$9*E52/U53,X53*$F$9*E52/U52),2),ROUND(E52*$F$9*D53/U52,2))))</f>
        <v>6901.81</v>
      </c>
      <c r="H53" s="22">
        <f ca="1">IF(A52=$D$8,SUM($H$29:H52),IF(A52&gt;$D$8,"",F53+G53))</f>
        <v>15235.14</v>
      </c>
      <c r="I53" s="22" t="str">
        <f t="shared" si="21"/>
        <v/>
      </c>
      <c r="J53" s="22" t="str">
        <f t="shared" si="22"/>
        <v/>
      </c>
      <c r="K53" s="22" t="str">
        <f t="shared" si="23"/>
        <v/>
      </c>
      <c r="L53" s="22" t="str">
        <f t="shared" si="24"/>
        <v/>
      </c>
      <c r="M53" s="22" t="str">
        <f t="shared" si="25"/>
        <v/>
      </c>
      <c r="N53" s="22" t="str">
        <f t="shared" si="26"/>
        <v/>
      </c>
      <c r="O53" s="213">
        <f>IF($F$8&gt;24,($P$17),IF($A$52=$F$8,O41+O28,""))</f>
        <v>2181</v>
      </c>
      <c r="P53" s="22"/>
      <c r="Q53" s="68" t="str">
        <f>IF(A52=$D$8,XIRR(S$28:S52,C$28:C52),"")</f>
        <v/>
      </c>
      <c r="R53" s="22" t="str">
        <f t="shared" si="4"/>
        <v/>
      </c>
      <c r="S53" s="22">
        <f t="shared" ca="1" si="6"/>
        <v>17416.14</v>
      </c>
      <c r="T53" s="15">
        <f t="shared" ca="1" si="7"/>
        <v>2023</v>
      </c>
      <c r="U53" s="15">
        <f t="shared" ca="1" si="8"/>
        <v>365</v>
      </c>
      <c r="V53" s="15">
        <f t="shared" ca="1" si="9"/>
        <v>1</v>
      </c>
      <c r="W53" s="16">
        <f t="shared" ca="1" si="10"/>
        <v>0</v>
      </c>
      <c r="X53" s="17">
        <f t="shared" ca="1" si="11"/>
        <v>28</v>
      </c>
      <c r="Y53" s="15"/>
    </row>
    <row r="54" spans="1:25" x14ac:dyDescent="0.35">
      <c r="A54" s="25">
        <f t="shared" si="12"/>
        <v>26</v>
      </c>
      <c r="B54" s="21">
        <f ca="1">EDATE($B$28,26)</f>
        <v>45017</v>
      </c>
      <c r="C54" s="21">
        <f t="shared" ca="1" si="5"/>
        <v>45017</v>
      </c>
      <c r="D54" s="25">
        <f t="shared" ca="1" si="28"/>
        <v>31</v>
      </c>
      <c r="E54" s="22">
        <f t="shared" si="29"/>
        <v>283333.41666666628</v>
      </c>
      <c r="F54" s="22">
        <f>IF(AND(A53="",A55=""),"",IF(A54="",ROUND(SUM($F$29:F53),2),IF(A54=$D$8,$E$28-ROUND(SUM($F$29:F53),2),ROUND($E$28/$D$8,2))))</f>
        <v>8333.33</v>
      </c>
      <c r="G54" s="22">
        <f ca="1">IF(A53=$D$8,ROUND(SUM($G$29:G53),2),IF(A54&gt;$F$8,"",IF(U54&lt;&gt;U53,ROUND(SUM(W54*$F$9*E53/U54,X54*$F$9*E53/U53),2),ROUND(E53*$F$9*D54/U53,2))))</f>
        <v>7429.03</v>
      </c>
      <c r="H54" s="22">
        <f ca="1">IF(A53=$D$8,SUM($H$29:H53),IF(A53&gt;$D$8,"",F54+G54))</f>
        <v>15762.36</v>
      </c>
      <c r="I54" s="22" t="str">
        <f t="shared" si="21"/>
        <v/>
      </c>
      <c r="J54" s="22" t="str">
        <f t="shared" si="22"/>
        <v/>
      </c>
      <c r="K54" s="22" t="str">
        <f t="shared" si="23"/>
        <v/>
      </c>
      <c r="L54" s="22" t="str">
        <f t="shared" si="24"/>
        <v/>
      </c>
      <c r="M54" s="22" t="str">
        <f t="shared" si="25"/>
        <v/>
      </c>
      <c r="N54" s="22" t="str">
        <f t="shared" si="26"/>
        <v/>
      </c>
      <c r="O54" s="22" t="str">
        <f t="shared" si="30"/>
        <v/>
      </c>
      <c r="P54" s="22"/>
      <c r="Q54" s="68" t="str">
        <f>IF(A53=$D$8,XIRR(S$28:S53,C$28:C53),"")</f>
        <v/>
      </c>
      <c r="R54" s="22" t="str">
        <f t="shared" si="4"/>
        <v/>
      </c>
      <c r="S54" s="22">
        <f t="shared" ca="1" si="6"/>
        <v>15762.36</v>
      </c>
      <c r="T54" s="15">
        <f t="shared" ca="1" si="7"/>
        <v>2023</v>
      </c>
      <c r="U54" s="15">
        <f t="shared" ca="1" si="8"/>
        <v>365</v>
      </c>
      <c r="V54" s="15">
        <f t="shared" ca="1" si="9"/>
        <v>1</v>
      </c>
      <c r="W54" s="16">
        <f t="shared" ca="1" si="10"/>
        <v>0</v>
      </c>
      <c r="X54" s="17">
        <f t="shared" ca="1" si="11"/>
        <v>31</v>
      </c>
      <c r="Y54" s="15"/>
    </row>
    <row r="55" spans="1:25" x14ac:dyDescent="0.35">
      <c r="A55" s="25">
        <f t="shared" si="12"/>
        <v>27</v>
      </c>
      <c r="B55" s="21">
        <f ca="1">EDATE($B$28,27)</f>
        <v>45047</v>
      </c>
      <c r="C55" s="21">
        <f t="shared" ca="1" si="5"/>
        <v>45047</v>
      </c>
      <c r="D55" s="25">
        <f t="shared" ca="1" si="28"/>
        <v>30</v>
      </c>
      <c r="E55" s="22">
        <f t="shared" si="29"/>
        <v>275000.08666666626</v>
      </c>
      <c r="F55" s="22">
        <f>IF(AND(A54="",A56=""),"",IF(A55="",ROUND(SUM($F$29:F54),2),IF(A55=$D$8,$E$28-ROUND(SUM($F$29:F54),2),ROUND($E$28/$D$8,2))))</f>
        <v>8333.33</v>
      </c>
      <c r="G55" s="22">
        <f ca="1">IF(A54=$D$8,ROUND(SUM($G$29:G54),2),IF(A55&gt;$F$8,"",IF(U55&lt;&gt;U54,ROUND(SUM(W55*$F$9*E54/U55,X55*$F$9*E54/U54),2),ROUND(E54*$F$9*D55/U54,2))))</f>
        <v>6983.97</v>
      </c>
      <c r="H55" s="22">
        <f ca="1">IF(A54=$D$8,SUM($H$29:H54),IF(A54&gt;$D$8,"",F55+G55))</f>
        <v>15317.3</v>
      </c>
      <c r="I55" s="22" t="str">
        <f t="shared" si="21"/>
        <v/>
      </c>
      <c r="J55" s="22" t="str">
        <f t="shared" si="22"/>
        <v/>
      </c>
      <c r="K55" s="22" t="str">
        <f t="shared" si="23"/>
        <v/>
      </c>
      <c r="L55" s="22" t="str">
        <f t="shared" si="24"/>
        <v/>
      </c>
      <c r="M55" s="22" t="str">
        <f t="shared" si="25"/>
        <v/>
      </c>
      <c r="N55" s="22" t="str">
        <f t="shared" si="26"/>
        <v/>
      </c>
      <c r="O55" s="22" t="str">
        <f t="shared" si="30"/>
        <v/>
      </c>
      <c r="P55" s="22"/>
      <c r="Q55" s="68" t="str">
        <f>IF(A54=$D$8,XIRR(S$28:S54,C$28:C54),"")</f>
        <v/>
      </c>
      <c r="R55" s="22" t="str">
        <f t="shared" si="4"/>
        <v/>
      </c>
      <c r="S55" s="22">
        <f t="shared" ca="1" si="6"/>
        <v>15317.3</v>
      </c>
      <c r="T55" s="15">
        <f t="shared" ca="1" si="7"/>
        <v>2023</v>
      </c>
      <c r="U55" s="15">
        <f t="shared" ca="1" si="8"/>
        <v>365</v>
      </c>
      <c r="V55" s="15">
        <f t="shared" ca="1" si="9"/>
        <v>1</v>
      </c>
      <c r="W55" s="16">
        <f t="shared" ca="1" si="10"/>
        <v>0</v>
      </c>
      <c r="X55" s="17">
        <f t="shared" ca="1" si="11"/>
        <v>30</v>
      </c>
      <c r="Y55" s="15"/>
    </row>
    <row r="56" spans="1:25" x14ac:dyDescent="0.35">
      <c r="A56" s="25">
        <f t="shared" si="12"/>
        <v>28</v>
      </c>
      <c r="B56" s="21">
        <f ca="1">EDATE($B$28,28)</f>
        <v>45078</v>
      </c>
      <c r="C56" s="21">
        <f t="shared" ca="1" si="5"/>
        <v>45078</v>
      </c>
      <c r="D56" s="25">
        <f t="shared" ca="1" si="28"/>
        <v>31</v>
      </c>
      <c r="E56" s="22">
        <f t="shared" si="29"/>
        <v>266666.75666666625</v>
      </c>
      <c r="F56" s="22">
        <f>IF(AND(A55="",A57=""),"",IF(A56="",ROUND(SUM($F$29:F55),2),IF(A56=$D$8,$E$28-ROUND(SUM($F$29:F55),2),ROUND($E$28/$D$8,2))))</f>
        <v>8333.33</v>
      </c>
      <c r="G56" s="22">
        <f ca="1">IF(A55=$D$8,ROUND(SUM($G$29:G55),2),IF(A56&gt;$F$8,"",IF(U56&lt;&gt;U55,ROUND(SUM(W56*$F$9*E55/U56,X56*$F$9*E55/U55),2),ROUND(E55*$F$9*D56/U55,2))))</f>
        <v>7004.52</v>
      </c>
      <c r="H56" s="22">
        <f ca="1">IF(A55=$D$8,SUM($H$29:H55),IF(A55&gt;$D$8,"",F56+G56))</f>
        <v>15337.85</v>
      </c>
      <c r="I56" s="22" t="str">
        <f t="shared" si="21"/>
        <v/>
      </c>
      <c r="J56" s="22" t="str">
        <f t="shared" si="22"/>
        <v/>
      </c>
      <c r="K56" s="22" t="str">
        <f t="shared" si="23"/>
        <v/>
      </c>
      <c r="L56" s="22" t="str">
        <f t="shared" si="24"/>
        <v/>
      </c>
      <c r="M56" s="22" t="str">
        <f t="shared" si="25"/>
        <v/>
      </c>
      <c r="N56" s="22" t="str">
        <f t="shared" si="26"/>
        <v/>
      </c>
      <c r="O56" s="22" t="str">
        <f t="shared" si="30"/>
        <v/>
      </c>
      <c r="P56" s="22"/>
      <c r="Q56" s="68" t="str">
        <f>IF(A55=$D$8,XIRR(S$28:S55,C$28:C55),"")</f>
        <v/>
      </c>
      <c r="R56" s="22" t="str">
        <f t="shared" si="4"/>
        <v/>
      </c>
      <c r="S56" s="22">
        <f t="shared" ca="1" si="6"/>
        <v>15337.85</v>
      </c>
      <c r="T56" s="15">
        <f t="shared" ca="1" si="7"/>
        <v>2023</v>
      </c>
      <c r="U56" s="15">
        <f t="shared" ca="1" si="8"/>
        <v>365</v>
      </c>
      <c r="V56" s="15">
        <f t="shared" ca="1" si="9"/>
        <v>1</v>
      </c>
      <c r="W56" s="16">
        <f t="shared" ca="1" si="10"/>
        <v>0</v>
      </c>
      <c r="X56" s="17">
        <f t="shared" ca="1" si="11"/>
        <v>31</v>
      </c>
      <c r="Y56" s="15"/>
    </row>
    <row r="57" spans="1:25" x14ac:dyDescent="0.35">
      <c r="A57" s="25">
        <f t="shared" si="12"/>
        <v>29</v>
      </c>
      <c r="B57" s="21">
        <f ca="1">EDATE($B$28,29)</f>
        <v>45108</v>
      </c>
      <c r="C57" s="21">
        <f t="shared" ca="1" si="5"/>
        <v>45108</v>
      </c>
      <c r="D57" s="25">
        <f t="shared" ca="1" si="28"/>
        <v>30</v>
      </c>
      <c r="E57" s="22">
        <f t="shared" si="29"/>
        <v>258333.42666666626</v>
      </c>
      <c r="F57" s="22">
        <f>IF(AND(A56="",A58=""),"",IF(A57="",ROUND(SUM($F$29:F56),2),IF(A57=$D$8,$E$28-ROUND(SUM($F$29:F56),2),ROUND($E$28/$D$8,2))))</f>
        <v>8333.33</v>
      </c>
      <c r="G57" s="22">
        <f ca="1">IF(A56=$D$8,ROUND(SUM($G$29:G56),2),IF(A57&gt;$F$8,"",IF(U57&lt;&gt;U56,ROUND(SUM(W57*$F$9*E56/U57,X57*$F$9*E56/U56),2),ROUND(E56*$F$9*D57/U56,2))))</f>
        <v>6573.15</v>
      </c>
      <c r="H57" s="22">
        <f ca="1">IF(A56=$D$8,SUM($H$29:H56),IF(A56&gt;$D$8,"",F57+G57))</f>
        <v>14906.48</v>
      </c>
      <c r="I57" s="22" t="str">
        <f t="shared" si="21"/>
        <v/>
      </c>
      <c r="J57" s="22" t="str">
        <f t="shared" si="22"/>
        <v/>
      </c>
      <c r="K57" s="22" t="str">
        <f t="shared" si="23"/>
        <v/>
      </c>
      <c r="L57" s="22" t="str">
        <f t="shared" si="24"/>
        <v/>
      </c>
      <c r="M57" s="22" t="str">
        <f t="shared" si="25"/>
        <v/>
      </c>
      <c r="N57" s="22" t="str">
        <f t="shared" si="26"/>
        <v/>
      </c>
      <c r="O57" s="22" t="str">
        <f t="shared" si="30"/>
        <v/>
      </c>
      <c r="P57" s="22"/>
      <c r="Q57" s="68" t="str">
        <f>IF(A56=$D$8,XIRR(S$28:S56,C$28:C56),"")</f>
        <v/>
      </c>
      <c r="R57" s="22" t="str">
        <f t="shared" si="4"/>
        <v/>
      </c>
      <c r="S57" s="22">
        <f t="shared" ca="1" si="6"/>
        <v>14906.48</v>
      </c>
      <c r="T57" s="15">
        <f t="shared" ca="1" si="7"/>
        <v>2023</v>
      </c>
      <c r="U57" s="15">
        <f t="shared" ca="1" si="8"/>
        <v>365</v>
      </c>
      <c r="V57" s="15">
        <f t="shared" ca="1" si="9"/>
        <v>1</v>
      </c>
      <c r="W57" s="16">
        <f t="shared" ca="1" si="10"/>
        <v>0</v>
      </c>
      <c r="X57" s="17">
        <f t="shared" ca="1" si="11"/>
        <v>30</v>
      </c>
      <c r="Y57" s="15"/>
    </row>
    <row r="58" spans="1:25" x14ac:dyDescent="0.35">
      <c r="A58" s="25">
        <f t="shared" si="12"/>
        <v>30</v>
      </c>
      <c r="B58" s="21">
        <f ca="1">EDATE($B$28,30)</f>
        <v>45139</v>
      </c>
      <c r="C58" s="21">
        <f t="shared" ca="1" si="5"/>
        <v>45139</v>
      </c>
      <c r="D58" s="25">
        <f t="shared" ca="1" si="28"/>
        <v>31</v>
      </c>
      <c r="E58" s="22">
        <f t="shared" si="29"/>
        <v>250000.09666666627</v>
      </c>
      <c r="F58" s="22">
        <f>IF(AND(A57="",A59=""),"",IF(A58="",ROUND(SUM($F$29:F57),2),IF(A58=$D$8,$E$28-ROUND(SUM($F$29:F57),2),ROUND($E$28/$D$8,2))))</f>
        <v>8333.33</v>
      </c>
      <c r="G58" s="22">
        <f ca="1">IF(A57=$D$8,ROUND(SUM($G$29:G57),2),IF(A58&gt;$F$8,"",IF(U58&lt;&gt;U57,ROUND(SUM(W58*$F$9*E57/U58,X58*$F$9*E57/U57),2),ROUND(E57*$F$9*D58/U57,2))))</f>
        <v>6580</v>
      </c>
      <c r="H58" s="22">
        <f ca="1">IF(A57=$D$8,SUM($H$29:H57),IF(A57&gt;$D$8,"",F58+G58))</f>
        <v>14913.33</v>
      </c>
      <c r="I58" s="22" t="str">
        <f t="shared" si="21"/>
        <v/>
      </c>
      <c r="J58" s="22" t="str">
        <f t="shared" si="22"/>
        <v/>
      </c>
      <c r="K58" s="22" t="str">
        <f t="shared" si="23"/>
        <v/>
      </c>
      <c r="L58" s="22" t="str">
        <f t="shared" si="24"/>
        <v/>
      </c>
      <c r="M58" s="22" t="str">
        <f t="shared" si="25"/>
        <v/>
      </c>
      <c r="N58" s="22" t="str">
        <f t="shared" si="26"/>
        <v/>
      </c>
      <c r="O58" s="22" t="str">
        <f t="shared" si="30"/>
        <v/>
      </c>
      <c r="P58" s="22"/>
      <c r="Q58" s="68" t="str">
        <f>IF(A57=$D$8,XIRR(S$28:S57,C$28:C57),"")</f>
        <v/>
      </c>
      <c r="R58" s="22" t="str">
        <f t="shared" si="4"/>
        <v/>
      </c>
      <c r="S58" s="22">
        <f t="shared" ca="1" si="6"/>
        <v>14913.33</v>
      </c>
      <c r="T58" s="15">
        <f t="shared" ca="1" si="7"/>
        <v>2023</v>
      </c>
      <c r="U58" s="15">
        <f t="shared" ca="1" si="8"/>
        <v>365</v>
      </c>
      <c r="V58" s="15">
        <f t="shared" ca="1" si="9"/>
        <v>1</v>
      </c>
      <c r="W58" s="16">
        <f t="shared" ca="1" si="10"/>
        <v>0</v>
      </c>
      <c r="X58" s="17">
        <f t="shared" ca="1" si="11"/>
        <v>31</v>
      </c>
      <c r="Y58" s="15"/>
    </row>
    <row r="59" spans="1:25" x14ac:dyDescent="0.35">
      <c r="A59" s="25">
        <f t="shared" si="12"/>
        <v>31</v>
      </c>
      <c r="B59" s="21">
        <f ca="1">EDATE($B$28,31)</f>
        <v>45170</v>
      </c>
      <c r="C59" s="21">
        <f t="shared" ca="1" si="5"/>
        <v>45170</v>
      </c>
      <c r="D59" s="25">
        <f t="shared" ca="1" si="28"/>
        <v>31</v>
      </c>
      <c r="E59" s="22">
        <f t="shared" si="29"/>
        <v>241666.76666666628</v>
      </c>
      <c r="F59" s="22">
        <f>IF(AND(A58="",A60=""),"",IF(A59="",ROUND(SUM($F$29:F58),2),IF(A59=$D$8,$E$28-ROUND(SUM($F$29:F58),2),ROUND($E$28/$D$8,2))))</f>
        <v>8333.33</v>
      </c>
      <c r="G59" s="22">
        <f ca="1">IF(A58=$D$8,ROUND(SUM($G$29:G58),2),IF(A59&gt;$F$8,"",IF(U59&lt;&gt;U58,ROUND(SUM(W59*$F$9*E58/U59,X59*$F$9*E58/U58),2),ROUND(E58*$F$9*D59/U58,2))))</f>
        <v>6367.74</v>
      </c>
      <c r="H59" s="22">
        <f ca="1">IF(A58=$D$8,SUM($H$29:H58),IF(A58&gt;$D$8,"",F59+G59))</f>
        <v>14701.07</v>
      </c>
      <c r="I59" s="22" t="str">
        <f t="shared" si="21"/>
        <v/>
      </c>
      <c r="J59" s="22" t="str">
        <f t="shared" si="22"/>
        <v/>
      </c>
      <c r="K59" s="22" t="str">
        <f t="shared" si="23"/>
        <v/>
      </c>
      <c r="L59" s="22" t="str">
        <f t="shared" si="24"/>
        <v/>
      </c>
      <c r="M59" s="22" t="str">
        <f t="shared" si="25"/>
        <v/>
      </c>
      <c r="N59" s="22" t="str">
        <f t="shared" si="26"/>
        <v/>
      </c>
      <c r="O59" s="22" t="str">
        <f t="shared" si="30"/>
        <v/>
      </c>
      <c r="P59" s="22"/>
      <c r="Q59" s="68" t="str">
        <f>IF(A58=$D$8,XIRR(S$28:S58,C$28:C58),"")</f>
        <v/>
      </c>
      <c r="R59" s="22" t="str">
        <f t="shared" si="4"/>
        <v/>
      </c>
      <c r="S59" s="22">
        <f t="shared" ca="1" si="6"/>
        <v>14701.07</v>
      </c>
      <c r="T59" s="15">
        <f t="shared" ca="1" si="7"/>
        <v>2023</v>
      </c>
      <c r="U59" s="15">
        <f t="shared" ca="1" si="8"/>
        <v>365</v>
      </c>
      <c r="V59" s="15">
        <f t="shared" ca="1" si="9"/>
        <v>1</v>
      </c>
      <c r="W59" s="16">
        <f t="shared" ca="1" si="10"/>
        <v>0</v>
      </c>
      <c r="X59" s="17">
        <f t="shared" ca="1" si="11"/>
        <v>31</v>
      </c>
      <c r="Y59" s="15"/>
    </row>
    <row r="60" spans="1:25" x14ac:dyDescent="0.35">
      <c r="A60" s="25">
        <f t="shared" si="12"/>
        <v>32</v>
      </c>
      <c r="B60" s="21">
        <f ca="1">EDATE($B$28,32)</f>
        <v>45200</v>
      </c>
      <c r="C60" s="21">
        <f t="shared" ca="1" si="5"/>
        <v>45200</v>
      </c>
      <c r="D60" s="25">
        <f t="shared" ca="1" si="28"/>
        <v>30</v>
      </c>
      <c r="E60" s="22">
        <f t="shared" si="29"/>
        <v>233333.4366666663</v>
      </c>
      <c r="F60" s="22">
        <f>IF(AND(A59="",A61=""),"",IF(A60="",ROUND(SUM($F$29:F59),2),IF(A60=$D$8,$E$28-ROUND(SUM($F$29:F59),2),ROUND($E$28/$D$8,2))))</f>
        <v>8333.33</v>
      </c>
      <c r="G60" s="22">
        <f ca="1">IF(A59=$D$8,ROUND(SUM($G$29:G59),2),IF(A60&gt;$F$8,"",IF(U60&lt;&gt;U59,ROUND(SUM(W60*$F$9*E59/U60,X60*$F$9*E59/U59),2),ROUND(E59*$F$9*D60/U59,2))))</f>
        <v>5956.92</v>
      </c>
      <c r="H60" s="22">
        <f ca="1">IF(A59=$D$8,SUM($H$29:H59),IF(A59&gt;$D$8,"",F60+G60))</f>
        <v>14290.25</v>
      </c>
      <c r="I60" s="22" t="str">
        <f t="shared" si="21"/>
        <v/>
      </c>
      <c r="J60" s="22" t="str">
        <f t="shared" si="22"/>
        <v/>
      </c>
      <c r="K60" s="22" t="str">
        <f t="shared" si="23"/>
        <v/>
      </c>
      <c r="L60" s="22" t="str">
        <f t="shared" si="24"/>
        <v/>
      </c>
      <c r="M60" s="22" t="str">
        <f t="shared" si="25"/>
        <v/>
      </c>
      <c r="N60" s="22" t="str">
        <f t="shared" si="26"/>
        <v/>
      </c>
      <c r="O60" s="22" t="str">
        <f t="shared" si="30"/>
        <v/>
      </c>
      <c r="P60" s="22"/>
      <c r="Q60" s="68" t="str">
        <f>IF(A59=$D$8,XIRR(S$28:S59,C$28:C59),"")</f>
        <v/>
      </c>
      <c r="R60" s="22" t="str">
        <f t="shared" si="4"/>
        <v/>
      </c>
      <c r="S60" s="22">
        <f t="shared" ca="1" si="6"/>
        <v>14290.25</v>
      </c>
      <c r="T60" s="15">
        <f t="shared" ca="1" si="7"/>
        <v>2023</v>
      </c>
      <c r="U60" s="15">
        <f t="shared" ca="1" si="8"/>
        <v>365</v>
      </c>
      <c r="V60" s="15">
        <f t="shared" ca="1" si="9"/>
        <v>1</v>
      </c>
      <c r="W60" s="16">
        <f t="shared" ca="1" si="10"/>
        <v>0</v>
      </c>
      <c r="X60" s="17">
        <f t="shared" ca="1" si="11"/>
        <v>30</v>
      </c>
      <c r="Y60" s="15"/>
    </row>
    <row r="61" spans="1:25" x14ac:dyDescent="0.35">
      <c r="A61" s="25">
        <f t="shared" si="12"/>
        <v>33</v>
      </c>
      <c r="B61" s="21">
        <f ca="1">EDATE($B$28,33)</f>
        <v>45231</v>
      </c>
      <c r="C61" s="21">
        <f t="shared" ca="1" si="5"/>
        <v>45231</v>
      </c>
      <c r="D61" s="25">
        <f t="shared" ca="1" si="28"/>
        <v>31</v>
      </c>
      <c r="E61" s="22">
        <f t="shared" si="29"/>
        <v>225000.10666666631</v>
      </c>
      <c r="F61" s="22">
        <f>IF(AND(A60="",A62=""),"",IF(A61="",ROUND(SUM($F$29:F60),2),IF(A61=$D$8,$E$28-ROUND(SUM($F$29:F60),2),ROUND($E$28/$D$8,2))))</f>
        <v>8333.33</v>
      </c>
      <c r="G61" s="22">
        <f ca="1">IF(A60=$D$8,ROUND(SUM($G$29:G60),2),IF(A61&gt;$F$8,"",IF(U61&lt;&gt;U60,ROUND(SUM(W61*$F$9*E60/U61,X61*$F$9*E60/U60),2),ROUND(E60*$F$9*D61/U60,2))))</f>
        <v>5943.23</v>
      </c>
      <c r="H61" s="22">
        <f ca="1">IF(A60=$D$8,SUM($H$29:H60),IF(A60&gt;$D$8,"",F61+G61))</f>
        <v>14276.56</v>
      </c>
      <c r="I61" s="22" t="str">
        <f t="shared" si="21"/>
        <v/>
      </c>
      <c r="J61" s="22" t="str">
        <f t="shared" si="22"/>
        <v/>
      </c>
      <c r="K61" s="22" t="str">
        <f t="shared" si="23"/>
        <v/>
      </c>
      <c r="L61" s="22" t="str">
        <f t="shared" si="24"/>
        <v/>
      </c>
      <c r="M61" s="22" t="str">
        <f t="shared" si="25"/>
        <v/>
      </c>
      <c r="N61" s="22" t="str">
        <f t="shared" si="26"/>
        <v/>
      </c>
      <c r="O61" s="22" t="str">
        <f t="shared" si="30"/>
        <v/>
      </c>
      <c r="P61" s="22"/>
      <c r="Q61" s="68" t="str">
        <f>IF(A60=$D$8,XIRR(S$28:S60,C$28:C60),"")</f>
        <v/>
      </c>
      <c r="R61" s="22" t="str">
        <f t="shared" si="4"/>
        <v/>
      </c>
      <c r="S61" s="22">
        <f t="shared" ca="1" si="6"/>
        <v>14276.56</v>
      </c>
      <c r="T61" s="15">
        <f t="shared" ca="1" si="7"/>
        <v>2023</v>
      </c>
      <c r="U61" s="15">
        <f t="shared" ca="1" si="8"/>
        <v>365</v>
      </c>
      <c r="V61" s="15">
        <f t="shared" ca="1" si="9"/>
        <v>1</v>
      </c>
      <c r="W61" s="16">
        <f t="shared" ca="1" si="10"/>
        <v>0</v>
      </c>
      <c r="X61" s="17">
        <f t="shared" ca="1" si="11"/>
        <v>31</v>
      </c>
      <c r="Y61" s="15"/>
    </row>
    <row r="62" spans="1:25" x14ac:dyDescent="0.35">
      <c r="A62" s="25">
        <f t="shared" si="12"/>
        <v>34</v>
      </c>
      <c r="B62" s="21">
        <f ca="1">EDATE($B$28,34)</f>
        <v>45261</v>
      </c>
      <c r="C62" s="21">
        <f t="shared" ca="1" si="5"/>
        <v>45261</v>
      </c>
      <c r="D62" s="25">
        <f t="shared" ca="1" si="28"/>
        <v>30</v>
      </c>
      <c r="E62" s="22">
        <f t="shared" si="29"/>
        <v>216666.77666666632</v>
      </c>
      <c r="F62" s="22">
        <f>IF(AND(A61="",A63=""),"",IF(A62="",ROUND(SUM($F$29:F61),2),IF(A62=$D$8,$E$28-ROUND(SUM($F$29:F61),2),ROUND($E$28/$D$8,2))))</f>
        <v>8333.33</v>
      </c>
      <c r="G62" s="22">
        <f ca="1">IF(A61=$D$8,ROUND(SUM($G$29:G61),2),IF(A62&gt;$F$8,"",IF(U62&lt;&gt;U61,ROUND(SUM(W62*$F$9*E61/U62,X62*$F$9*E61/U61),2),ROUND(E61*$F$9*D62/U61,2))))</f>
        <v>5546.1</v>
      </c>
      <c r="H62" s="22">
        <f ca="1">IF(A61=$D$8,SUM($H$29:H61),IF(A61&gt;$D$8,"",F62+G62))</f>
        <v>13879.43</v>
      </c>
      <c r="I62" s="22" t="str">
        <f t="shared" si="21"/>
        <v/>
      </c>
      <c r="J62" s="22" t="str">
        <f t="shared" si="22"/>
        <v/>
      </c>
      <c r="K62" s="22" t="str">
        <f t="shared" si="23"/>
        <v/>
      </c>
      <c r="L62" s="22" t="str">
        <f t="shared" si="24"/>
        <v/>
      </c>
      <c r="M62" s="22" t="str">
        <f t="shared" si="25"/>
        <v/>
      </c>
      <c r="N62" s="22" t="str">
        <f t="shared" si="26"/>
        <v/>
      </c>
      <c r="O62" s="22" t="str">
        <f t="shared" si="30"/>
        <v/>
      </c>
      <c r="P62" s="22"/>
      <c r="Q62" s="68" t="str">
        <f>IF(A61=$D$8,XIRR(S$28:S61,C$28:C61),"")</f>
        <v/>
      </c>
      <c r="R62" s="22" t="str">
        <f t="shared" si="4"/>
        <v/>
      </c>
      <c r="S62" s="22">
        <f t="shared" ca="1" si="6"/>
        <v>13879.43</v>
      </c>
      <c r="T62" s="15">
        <f t="shared" ca="1" si="7"/>
        <v>2023</v>
      </c>
      <c r="U62" s="15">
        <f t="shared" ca="1" si="8"/>
        <v>365</v>
      </c>
      <c r="V62" s="15">
        <f t="shared" ca="1" si="9"/>
        <v>1</v>
      </c>
      <c r="W62" s="16">
        <f t="shared" ca="1" si="10"/>
        <v>0</v>
      </c>
      <c r="X62" s="17">
        <f t="shared" ca="1" si="11"/>
        <v>30</v>
      </c>
      <c r="Y62" s="15"/>
    </row>
    <row r="63" spans="1:25" x14ac:dyDescent="0.35">
      <c r="A63" s="25">
        <f t="shared" si="12"/>
        <v>35</v>
      </c>
      <c r="B63" s="21">
        <f ca="1">EDATE($B$28,35)</f>
        <v>45292</v>
      </c>
      <c r="C63" s="21">
        <f t="shared" ca="1" si="5"/>
        <v>45292</v>
      </c>
      <c r="D63" s="25">
        <f t="shared" ca="1" si="28"/>
        <v>31</v>
      </c>
      <c r="E63" s="22">
        <f t="shared" si="29"/>
        <v>208333.44666666634</v>
      </c>
      <c r="F63" s="22">
        <f>IF(AND(A62="",A64=""),"",IF(A63="",ROUND(SUM($F$29:F62),2),IF(A63=$D$8,$E$28-ROUND(SUM($F$29:F62),2),ROUND($E$28/$D$8,2))))</f>
        <v>8333.33</v>
      </c>
      <c r="G63" s="22">
        <f ca="1">IF(A62=$D$8,ROUND(SUM($G$29:G62),2),IF(A63&gt;$F$8,"",IF(U63&lt;&gt;U62,ROUND(SUM(W63*$F$9*E62/U63,X63*$F$9*E62/U62),2),ROUND(E62*$F$9*D63/U62,2))))</f>
        <v>5518.71</v>
      </c>
      <c r="H63" s="22">
        <f ca="1">IF(A62=$D$8,SUM($H$29:H62),IF(A62&gt;$D$8,"",F63+G63))</f>
        <v>13852.04</v>
      </c>
      <c r="I63" s="22" t="str">
        <f t="shared" si="21"/>
        <v/>
      </c>
      <c r="J63" s="22" t="str">
        <f t="shared" si="22"/>
        <v/>
      </c>
      <c r="K63" s="22" t="str">
        <f t="shared" si="23"/>
        <v/>
      </c>
      <c r="L63" s="22" t="str">
        <f t="shared" si="24"/>
        <v/>
      </c>
      <c r="M63" s="22" t="str">
        <f t="shared" si="25"/>
        <v/>
      </c>
      <c r="N63" s="22" t="str">
        <f t="shared" si="26"/>
        <v/>
      </c>
      <c r="O63" s="22" t="str">
        <f t="shared" si="30"/>
        <v/>
      </c>
      <c r="P63" s="22"/>
      <c r="Q63" s="68" t="str">
        <f>IF(A62=$D$8,XIRR(S$28:S62,C$28:C62),"")</f>
        <v/>
      </c>
      <c r="R63" s="22" t="str">
        <f t="shared" si="4"/>
        <v/>
      </c>
      <c r="S63" s="22">
        <f t="shared" ca="1" si="6"/>
        <v>13852.04</v>
      </c>
      <c r="T63" s="15">
        <f t="shared" ca="1" si="7"/>
        <v>2024</v>
      </c>
      <c r="U63" s="15">
        <f t="shared" ca="1" si="8"/>
        <v>366</v>
      </c>
      <c r="V63" s="15">
        <f t="shared" ca="1" si="9"/>
        <v>1</v>
      </c>
      <c r="W63" s="16">
        <f t="shared" ca="1" si="10"/>
        <v>0</v>
      </c>
      <c r="X63" s="17">
        <f t="shared" ca="1" si="11"/>
        <v>31</v>
      </c>
      <c r="Y63" s="15"/>
    </row>
    <row r="64" spans="1:25" x14ac:dyDescent="0.35">
      <c r="A64" s="25">
        <f t="shared" si="12"/>
        <v>36</v>
      </c>
      <c r="B64" s="21">
        <f ca="1">EDATE($B$28,36)</f>
        <v>45323</v>
      </c>
      <c r="C64" s="21">
        <f t="shared" ca="1" si="5"/>
        <v>45323</v>
      </c>
      <c r="D64" s="25">
        <f t="shared" ca="1" si="28"/>
        <v>31</v>
      </c>
      <c r="E64" s="22">
        <f t="shared" si="29"/>
        <v>200000.11666666635</v>
      </c>
      <c r="F64" s="22">
        <f>IF(AND(A63="",A65=""),"",IF(A64="",ROUND(SUM($F$29:F63),2),IF(A64=$D$8,$E$28-ROUND(SUM($F$29:F63),2),ROUND($E$28/$D$8,2))))</f>
        <v>8333.33</v>
      </c>
      <c r="G64" s="22">
        <f ca="1">IF(A63=$D$8,ROUND(SUM($G$29:G63),2),IF(A64&gt;$F$8,"",IF(U64&lt;&gt;U63,ROUND(SUM(W64*$F$9*E63/U64,X64*$F$9*E63/U63),2),ROUND(E63*$F$9*D64/U63,2))))</f>
        <v>5291.95</v>
      </c>
      <c r="H64" s="22">
        <f ca="1">IF(A63=$D$8,SUM($H$29:H63),IF(A63&gt;$D$8,"",F64+G64))</f>
        <v>13625.279999999999</v>
      </c>
      <c r="I64" s="22" t="str">
        <f t="shared" si="21"/>
        <v/>
      </c>
      <c r="J64" s="22" t="str">
        <f t="shared" si="22"/>
        <v/>
      </c>
      <c r="K64" s="22" t="str">
        <f t="shared" si="23"/>
        <v/>
      </c>
      <c r="L64" s="22" t="str">
        <f t="shared" si="24"/>
        <v/>
      </c>
      <c r="M64" s="22" t="str">
        <f t="shared" si="25"/>
        <v/>
      </c>
      <c r="N64" s="22" t="str">
        <f t="shared" si="26"/>
        <v/>
      </c>
      <c r="O64" s="22" t="str">
        <f t="shared" si="30"/>
        <v/>
      </c>
      <c r="P64" s="22"/>
      <c r="Q64" s="68" t="str">
        <f>IF(A63=$D$8,XIRR(S$28:S63,C$28:C63),"")</f>
        <v/>
      </c>
      <c r="R64" s="22" t="str">
        <f t="shared" si="4"/>
        <v/>
      </c>
      <c r="S64" s="22">
        <f t="shared" ca="1" si="6"/>
        <v>13625.279999999999</v>
      </c>
      <c r="T64" s="15">
        <f t="shared" ca="1" si="7"/>
        <v>2024</v>
      </c>
      <c r="U64" s="15">
        <f t="shared" ca="1" si="8"/>
        <v>366</v>
      </c>
      <c r="V64" s="15">
        <f t="shared" ca="1" si="9"/>
        <v>1</v>
      </c>
      <c r="W64" s="16">
        <f t="shared" ca="1" si="10"/>
        <v>0</v>
      </c>
      <c r="X64" s="17">
        <f t="shared" ca="1" si="11"/>
        <v>31</v>
      </c>
      <c r="Y64" s="15"/>
    </row>
    <row r="65" spans="1:25" x14ac:dyDescent="0.35">
      <c r="A65" s="25">
        <f t="shared" si="12"/>
        <v>37</v>
      </c>
      <c r="B65" s="21">
        <f ca="1">EDATE($B$28,37)</f>
        <v>45352</v>
      </c>
      <c r="C65" s="21">
        <f t="shared" ca="1" si="5"/>
        <v>45352</v>
      </c>
      <c r="D65" s="25">
        <f t="shared" ca="1" si="28"/>
        <v>29</v>
      </c>
      <c r="E65" s="22">
        <f t="shared" si="29"/>
        <v>191666.78666666636</v>
      </c>
      <c r="F65" s="22">
        <f>IF(AND(A64="",A66=""),"",IF(A65="",ROUND(SUM($F$29:F64),2),IF(A65=$D$8,$E$28-ROUND(SUM($F$29:F64),2),ROUND($E$28/$D$8,2))))</f>
        <v>8333.33</v>
      </c>
      <c r="G65" s="22">
        <f ca="1">IF(A64=$D$8,ROUND(SUM($G$29:G64),2),IF(A65&gt;$F$8,"",IF(U65&lt;&gt;U64,ROUND(SUM(W65*$F$9*E64/U65,X65*$F$9*E64/U64),2),ROUND(E64*$F$9*D65/U64,2))))</f>
        <v>4752.5200000000004</v>
      </c>
      <c r="H65" s="22">
        <f ca="1">IF(A64=$D$8,SUM($H$29:H64),IF(A64&gt;$D$8,"",F65+G65))</f>
        <v>13085.85</v>
      </c>
      <c r="I65" s="22" t="str">
        <f t="shared" si="21"/>
        <v/>
      </c>
      <c r="J65" s="22" t="str">
        <f t="shared" si="22"/>
        <v/>
      </c>
      <c r="K65" s="22" t="str">
        <f t="shared" si="23"/>
        <v/>
      </c>
      <c r="L65" s="22" t="str">
        <f t="shared" si="24"/>
        <v/>
      </c>
      <c r="M65" s="22" t="str">
        <f t="shared" si="25"/>
        <v/>
      </c>
      <c r="N65" s="22" t="str">
        <f t="shared" si="26"/>
        <v/>
      </c>
      <c r="O65" s="213">
        <f>IF($F$8&gt;36,($P$17),IF($A$64=$F$8,O53+O41+O28,""))</f>
        <v>2181</v>
      </c>
      <c r="P65" s="22"/>
      <c r="Q65" s="68" t="str">
        <f>IF(A64=$D$8,XIRR(S$28:S64,C$28:C64),"")</f>
        <v/>
      </c>
      <c r="R65" s="22" t="str">
        <f t="shared" si="4"/>
        <v/>
      </c>
      <c r="S65" s="22">
        <f t="shared" ca="1" si="6"/>
        <v>15266.85</v>
      </c>
      <c r="T65" s="15">
        <f t="shared" ca="1" si="7"/>
        <v>2024</v>
      </c>
      <c r="U65" s="15">
        <f t="shared" ca="1" si="8"/>
        <v>366</v>
      </c>
      <c r="V65" s="15">
        <f t="shared" ca="1" si="9"/>
        <v>1</v>
      </c>
      <c r="W65" s="16">
        <f t="shared" ca="1" si="10"/>
        <v>0</v>
      </c>
      <c r="X65" s="17">
        <f t="shared" ca="1" si="11"/>
        <v>29</v>
      </c>
      <c r="Y65" s="15"/>
    </row>
    <row r="66" spans="1:25" x14ac:dyDescent="0.35">
      <c r="A66" s="25">
        <f t="shared" si="12"/>
        <v>38</v>
      </c>
      <c r="B66" s="21">
        <f ca="1">EDATE($B$28,38)</f>
        <v>45383</v>
      </c>
      <c r="C66" s="21">
        <f t="shared" ca="1" si="5"/>
        <v>45383</v>
      </c>
      <c r="D66" s="25">
        <f t="shared" ca="1" si="28"/>
        <v>31</v>
      </c>
      <c r="E66" s="22">
        <f t="shared" si="29"/>
        <v>183333.45666666637</v>
      </c>
      <c r="F66" s="22">
        <f>IF(AND(A65="",A67=""),"",IF(A66="",ROUND(SUM($F$29:F65),2),IF(A66=$D$8,$E$28-ROUND(SUM($F$29:F65),2),ROUND($E$28/$D$8,2))))</f>
        <v>8333.33</v>
      </c>
      <c r="G66" s="22">
        <f ca="1">IF(A65=$D$8,ROUND(SUM($G$29:G65),2),IF(A66&gt;$F$8,"",IF(U66&lt;&gt;U65,ROUND(SUM(W66*$F$9*E65/U66,X66*$F$9*E65/U65),2),ROUND(E65*$F$9*D66/U65,2))))</f>
        <v>4868.6000000000004</v>
      </c>
      <c r="H66" s="22">
        <f ca="1">IF(A65=$D$8,SUM($H$29:H65),IF(A65&gt;$D$8,"",F66+G66))</f>
        <v>13201.93</v>
      </c>
      <c r="I66" s="22" t="str">
        <f t="shared" si="21"/>
        <v/>
      </c>
      <c r="J66" s="22" t="str">
        <f t="shared" si="22"/>
        <v/>
      </c>
      <c r="K66" s="22" t="str">
        <f t="shared" si="23"/>
        <v/>
      </c>
      <c r="L66" s="22" t="str">
        <f t="shared" si="24"/>
        <v/>
      </c>
      <c r="M66" s="22" t="str">
        <f t="shared" si="25"/>
        <v/>
      </c>
      <c r="N66" s="22" t="str">
        <f t="shared" si="26"/>
        <v/>
      </c>
      <c r="O66" s="22" t="str">
        <f t="shared" si="30"/>
        <v/>
      </c>
      <c r="P66" s="22"/>
      <c r="Q66" s="68" t="str">
        <f>IF(A65=$D$8,XIRR(S$28:S65,C$28:C65),"")</f>
        <v/>
      </c>
      <c r="R66" s="22" t="str">
        <f t="shared" si="4"/>
        <v/>
      </c>
      <c r="S66" s="22">
        <f t="shared" ca="1" si="6"/>
        <v>13201.93</v>
      </c>
      <c r="T66" s="15">
        <f t="shared" ca="1" si="7"/>
        <v>2024</v>
      </c>
      <c r="U66" s="15">
        <f t="shared" ca="1" si="8"/>
        <v>366</v>
      </c>
      <c r="V66" s="15">
        <f t="shared" ca="1" si="9"/>
        <v>1</v>
      </c>
      <c r="W66" s="16">
        <f t="shared" ca="1" si="10"/>
        <v>0</v>
      </c>
      <c r="X66" s="17">
        <f t="shared" ca="1" si="11"/>
        <v>31</v>
      </c>
      <c r="Y66" s="15"/>
    </row>
    <row r="67" spans="1:25" x14ac:dyDescent="0.35">
      <c r="A67" s="25">
        <f t="shared" si="12"/>
        <v>39</v>
      </c>
      <c r="B67" s="21">
        <f ca="1">EDATE($B$28,39)</f>
        <v>45413</v>
      </c>
      <c r="C67" s="21">
        <f t="shared" ca="1" si="5"/>
        <v>45413</v>
      </c>
      <c r="D67" s="25">
        <f t="shared" ca="1" si="28"/>
        <v>30</v>
      </c>
      <c r="E67" s="22">
        <f t="shared" si="29"/>
        <v>175000.12666666639</v>
      </c>
      <c r="F67" s="22">
        <f>IF(AND(A66="",A68=""),"",IF(A67="",ROUND(SUM($F$29:F66),2),IF(A67=$D$8,$E$28-ROUND(SUM($F$29:F66),2),ROUND($E$28/$D$8,2))))</f>
        <v>8333.33</v>
      </c>
      <c r="G67" s="22">
        <f ca="1">IF(A66=$D$8,ROUND(SUM($G$29:G66),2),IF(A67&gt;$F$8,"",IF(U67&lt;&gt;U66,ROUND(SUM(W67*$F$9*E66/U67,X67*$F$9*E66/U66),2),ROUND(E66*$F$9*D67/U66,2))))</f>
        <v>4506.7</v>
      </c>
      <c r="H67" s="22">
        <f ca="1">IF(A66=$D$8,SUM($H$29:H66),IF(A66&gt;$D$8,"",F67+G67))</f>
        <v>12840.029999999999</v>
      </c>
      <c r="I67" s="22" t="str">
        <f t="shared" si="21"/>
        <v/>
      </c>
      <c r="J67" s="22" t="str">
        <f t="shared" si="22"/>
        <v/>
      </c>
      <c r="K67" s="22" t="str">
        <f t="shared" si="23"/>
        <v/>
      </c>
      <c r="L67" s="22" t="str">
        <f t="shared" si="24"/>
        <v/>
      </c>
      <c r="M67" s="22" t="str">
        <f t="shared" si="25"/>
        <v/>
      </c>
      <c r="N67" s="22" t="str">
        <f t="shared" si="26"/>
        <v/>
      </c>
      <c r="O67" s="22" t="str">
        <f t="shared" si="30"/>
        <v/>
      </c>
      <c r="P67" s="22"/>
      <c r="Q67" s="68" t="str">
        <f>IF(A66=$D$8,XIRR(S$28:S66,C$28:C66),"")</f>
        <v/>
      </c>
      <c r="R67" s="22" t="str">
        <f t="shared" si="4"/>
        <v/>
      </c>
      <c r="S67" s="22">
        <f t="shared" ca="1" si="6"/>
        <v>12840.029999999999</v>
      </c>
      <c r="T67" s="15">
        <f t="shared" ca="1" si="7"/>
        <v>2024</v>
      </c>
      <c r="U67" s="15">
        <f t="shared" ca="1" si="8"/>
        <v>366</v>
      </c>
      <c r="V67" s="15">
        <f t="shared" ca="1" si="9"/>
        <v>1</v>
      </c>
      <c r="W67" s="16">
        <f t="shared" ca="1" si="10"/>
        <v>0</v>
      </c>
      <c r="X67" s="17">
        <f t="shared" ca="1" si="11"/>
        <v>30</v>
      </c>
      <c r="Y67" s="15"/>
    </row>
    <row r="68" spans="1:25" x14ac:dyDescent="0.35">
      <c r="A68" s="25">
        <f t="shared" si="12"/>
        <v>40</v>
      </c>
      <c r="B68" s="21">
        <f ca="1">EDATE($B$28,40)</f>
        <v>45444</v>
      </c>
      <c r="C68" s="21">
        <f t="shared" ca="1" si="5"/>
        <v>45444</v>
      </c>
      <c r="D68" s="25">
        <f t="shared" ca="1" si="28"/>
        <v>31</v>
      </c>
      <c r="E68" s="22">
        <f t="shared" si="29"/>
        <v>166666.7966666664</v>
      </c>
      <c r="F68" s="22">
        <f>IF(AND(A67="",A69=""),"",IF(A68="",ROUND(SUM($F$29:F67),2),IF(A68=$D$8,$E$28-ROUND(SUM($F$29:F67),2),ROUND($E$28/$D$8,2))))</f>
        <v>8333.33</v>
      </c>
      <c r="G68" s="22">
        <f ca="1">IF(A67=$D$8,ROUND(SUM($G$29:G67),2),IF(A68&gt;$F$8,"",IF(U68&lt;&gt;U67,ROUND(SUM(W68*$F$9*E67/U68,X68*$F$9*E67/U67),2),ROUND(E67*$F$9*D68/U67,2))))</f>
        <v>4445.24</v>
      </c>
      <c r="H68" s="22">
        <f ca="1">IF(A67=$D$8,SUM($H$29:H67),IF(A67&gt;$D$8,"",F68+G68))</f>
        <v>12778.57</v>
      </c>
      <c r="I68" s="22" t="str">
        <f t="shared" si="21"/>
        <v/>
      </c>
      <c r="J68" s="22" t="str">
        <f t="shared" si="22"/>
        <v/>
      </c>
      <c r="K68" s="22" t="str">
        <f t="shared" si="23"/>
        <v/>
      </c>
      <c r="L68" s="22" t="str">
        <f t="shared" si="24"/>
        <v/>
      </c>
      <c r="M68" s="22" t="str">
        <f t="shared" ref="M68:M99" si="31">IF(A67=$D$8,$M$28,"")</f>
        <v/>
      </c>
      <c r="N68" s="22" t="str">
        <f t="shared" si="26"/>
        <v/>
      </c>
      <c r="O68" s="22" t="str">
        <f t="shared" si="30"/>
        <v/>
      </c>
      <c r="P68" s="22"/>
      <c r="Q68" s="68" t="str">
        <f>IF(A67=$D$8,XIRR(S$28:S67,C$28:C67),"")</f>
        <v/>
      </c>
      <c r="R68" s="22" t="str">
        <f t="shared" si="4"/>
        <v/>
      </c>
      <c r="S68" s="22">
        <f t="shared" ca="1" si="6"/>
        <v>12778.57</v>
      </c>
      <c r="T68" s="15">
        <f t="shared" ca="1" si="7"/>
        <v>2024</v>
      </c>
      <c r="U68" s="15">
        <f t="shared" ca="1" si="8"/>
        <v>366</v>
      </c>
      <c r="V68" s="15">
        <f t="shared" ca="1" si="9"/>
        <v>1</v>
      </c>
      <c r="W68" s="16">
        <f t="shared" ca="1" si="10"/>
        <v>0</v>
      </c>
      <c r="X68" s="17">
        <f t="shared" ca="1" si="11"/>
        <v>31</v>
      </c>
      <c r="Y68" s="15"/>
    </row>
    <row r="69" spans="1:25" x14ac:dyDescent="0.35">
      <c r="A69" s="25">
        <f t="shared" si="12"/>
        <v>41</v>
      </c>
      <c r="B69" s="21">
        <f ca="1">EDATE($B$28,41)</f>
        <v>45474</v>
      </c>
      <c r="C69" s="21">
        <f t="shared" ca="1" si="5"/>
        <v>45474</v>
      </c>
      <c r="D69" s="25">
        <f t="shared" ca="1" si="28"/>
        <v>30</v>
      </c>
      <c r="E69" s="22">
        <f t="shared" si="29"/>
        <v>158333.46666666641</v>
      </c>
      <c r="F69" s="22">
        <f>IF(AND(A68="",A70=""),"",IF(A69="",ROUND(SUM($F$29:F68),2),IF(A69=$D$8,$E$28-ROUND(SUM($F$29:F68),2),ROUND($E$28/$D$8,2))))</f>
        <v>8333.33</v>
      </c>
      <c r="G69" s="22">
        <f ca="1">IF(A68=$D$8,ROUND(SUM($G$29:G68),2),IF(A69&gt;$F$8,"",IF(U69&lt;&gt;U68,ROUND(SUM(W69*$F$9*E68/U69,X69*$F$9*E68/U68),2),ROUND(E68*$F$9*D69/U68,2))))</f>
        <v>4097</v>
      </c>
      <c r="H69" s="22">
        <f ca="1">IF(A68=$D$8,SUM($H$29:H68),IF(A68&gt;$D$8,"",F69+G69))</f>
        <v>12430.33</v>
      </c>
      <c r="I69" s="22" t="str">
        <f t="shared" si="21"/>
        <v/>
      </c>
      <c r="J69" s="22" t="str">
        <f t="shared" si="22"/>
        <v/>
      </c>
      <c r="K69" s="22" t="str">
        <f t="shared" si="23"/>
        <v/>
      </c>
      <c r="L69" s="22" t="str">
        <f t="shared" si="24"/>
        <v/>
      </c>
      <c r="M69" s="22" t="str">
        <f t="shared" si="31"/>
        <v/>
      </c>
      <c r="N69" s="22" t="str">
        <f t="shared" si="26"/>
        <v/>
      </c>
      <c r="O69" s="22" t="str">
        <f t="shared" si="30"/>
        <v/>
      </c>
      <c r="P69" s="22"/>
      <c r="Q69" s="68" t="str">
        <f>IF(A68=$D$8,XIRR(S$28:S68,C$28:C68),"")</f>
        <v/>
      </c>
      <c r="R69" s="22" t="str">
        <f t="shared" si="4"/>
        <v/>
      </c>
      <c r="S69" s="22">
        <f t="shared" ca="1" si="6"/>
        <v>12430.33</v>
      </c>
      <c r="T69" s="15">
        <f t="shared" ca="1" si="7"/>
        <v>2024</v>
      </c>
      <c r="U69" s="15">
        <f t="shared" ca="1" si="8"/>
        <v>366</v>
      </c>
      <c r="V69" s="15">
        <f t="shared" ca="1" si="9"/>
        <v>1</v>
      </c>
      <c r="W69" s="16">
        <f t="shared" ca="1" si="10"/>
        <v>0</v>
      </c>
      <c r="X69" s="17">
        <f t="shared" ca="1" si="11"/>
        <v>30</v>
      </c>
      <c r="Y69" s="15"/>
    </row>
    <row r="70" spans="1:25" x14ac:dyDescent="0.35">
      <c r="A70" s="25">
        <f t="shared" si="12"/>
        <v>42</v>
      </c>
      <c r="B70" s="21">
        <f ca="1">EDATE($B$28,42)</f>
        <v>45505</v>
      </c>
      <c r="C70" s="21">
        <f t="shared" ca="1" si="5"/>
        <v>45505</v>
      </c>
      <c r="D70" s="25">
        <f t="shared" ca="1" si="28"/>
        <v>31</v>
      </c>
      <c r="E70" s="22">
        <f t="shared" si="29"/>
        <v>150000.13666666643</v>
      </c>
      <c r="F70" s="22">
        <f>IF(AND(A69="",A71=""),"",IF(A70="",ROUND(SUM($F$29:F69),2),IF(A70=$D$8,$E$28-ROUND(SUM($F$29:F69),2),ROUND($E$28/$D$8,2))))</f>
        <v>8333.33</v>
      </c>
      <c r="G70" s="22">
        <f ca="1">IF(A69=$D$8,ROUND(SUM($G$29:G69),2),IF(A70&gt;$F$8,"",IF(U70&lt;&gt;U69,ROUND(SUM(W70*$F$9*E69/U70,X70*$F$9*E69/U69),2),ROUND(E69*$F$9*D70/U69,2))))</f>
        <v>4021.89</v>
      </c>
      <c r="H70" s="22">
        <f ca="1">IF(A69=$D$8,SUM($H$29:H69),IF(A69&gt;$D$8,"",F70+G70))</f>
        <v>12355.22</v>
      </c>
      <c r="I70" s="22" t="str">
        <f t="shared" si="21"/>
        <v/>
      </c>
      <c r="J70" s="22" t="str">
        <f t="shared" si="22"/>
        <v/>
      </c>
      <c r="K70" s="22" t="str">
        <f t="shared" si="23"/>
        <v/>
      </c>
      <c r="L70" s="22" t="str">
        <f t="shared" si="24"/>
        <v/>
      </c>
      <c r="M70" s="22" t="str">
        <f t="shared" si="31"/>
        <v/>
      </c>
      <c r="N70" s="22" t="str">
        <f t="shared" si="26"/>
        <v/>
      </c>
      <c r="O70" s="22" t="str">
        <f t="shared" si="30"/>
        <v/>
      </c>
      <c r="P70" s="22"/>
      <c r="Q70" s="68" t="str">
        <f>IF(A69=$D$8,XIRR(S$28:S69,C$28:C69),"")</f>
        <v/>
      </c>
      <c r="R70" s="22" t="str">
        <f t="shared" si="4"/>
        <v/>
      </c>
      <c r="S70" s="22">
        <f t="shared" ca="1" si="6"/>
        <v>12355.22</v>
      </c>
      <c r="T70" s="15">
        <f t="shared" ca="1" si="7"/>
        <v>2024</v>
      </c>
      <c r="U70" s="15">
        <f t="shared" ca="1" si="8"/>
        <v>366</v>
      </c>
      <c r="V70" s="15">
        <f t="shared" ca="1" si="9"/>
        <v>1</v>
      </c>
      <c r="W70" s="16">
        <f t="shared" ca="1" si="10"/>
        <v>0</v>
      </c>
      <c r="X70" s="17">
        <f t="shared" ca="1" si="11"/>
        <v>31</v>
      </c>
      <c r="Y70" s="15"/>
    </row>
    <row r="71" spans="1:25" x14ac:dyDescent="0.35">
      <c r="A71" s="25">
        <f t="shared" si="12"/>
        <v>43</v>
      </c>
      <c r="B71" s="21">
        <f ca="1">EDATE($B$28,43)</f>
        <v>45536</v>
      </c>
      <c r="C71" s="21">
        <f t="shared" ca="1" si="5"/>
        <v>45536</v>
      </c>
      <c r="D71" s="25">
        <f t="shared" ca="1" si="28"/>
        <v>31</v>
      </c>
      <c r="E71" s="22">
        <f t="shared" si="29"/>
        <v>141666.80666666644</v>
      </c>
      <c r="F71" s="22">
        <f>IF(AND(A70="",A72=""),"",IF(A71="",ROUND(SUM($F$29:F70),2),IF(A71=$D$8,$E$28-ROUND(SUM($F$29:F70),2),ROUND($E$28/$D$8,2))))</f>
        <v>8333.33</v>
      </c>
      <c r="G71" s="22">
        <f ca="1">IF(A70=$D$8,ROUND(SUM($G$29:G70),2),IF(A71&gt;$F$8,"",IF(U71&lt;&gt;U70,ROUND(SUM(W71*$F$9*E70/U71,X71*$F$9*E70/U70),2),ROUND(E70*$F$9*D71/U70,2))))</f>
        <v>3810.21</v>
      </c>
      <c r="H71" s="22">
        <f ca="1">IF(A70=$D$8,SUM($H$29:H70),IF(A70&gt;$D$8,"",F71+G71))</f>
        <v>12143.54</v>
      </c>
      <c r="I71" s="22" t="str">
        <f t="shared" si="21"/>
        <v/>
      </c>
      <c r="J71" s="22" t="str">
        <f t="shared" si="22"/>
        <v/>
      </c>
      <c r="K71" s="22" t="str">
        <f t="shared" si="23"/>
        <v/>
      </c>
      <c r="L71" s="22" t="str">
        <f t="shared" si="24"/>
        <v/>
      </c>
      <c r="M71" s="22" t="str">
        <f t="shared" si="31"/>
        <v/>
      </c>
      <c r="N71" s="22" t="str">
        <f t="shared" si="26"/>
        <v/>
      </c>
      <c r="O71" s="22" t="str">
        <f t="shared" si="30"/>
        <v/>
      </c>
      <c r="P71" s="22"/>
      <c r="Q71" s="68" t="str">
        <f>IF(A70=$D$8,XIRR(S$28:S70,C$28:C70),"")</f>
        <v/>
      </c>
      <c r="R71" s="22" t="str">
        <f t="shared" si="4"/>
        <v/>
      </c>
      <c r="S71" s="22">
        <f t="shared" ca="1" si="6"/>
        <v>12143.54</v>
      </c>
      <c r="T71" s="15">
        <f t="shared" ca="1" si="7"/>
        <v>2024</v>
      </c>
      <c r="U71" s="15">
        <f t="shared" ca="1" si="8"/>
        <v>366</v>
      </c>
      <c r="V71" s="15">
        <f t="shared" ca="1" si="9"/>
        <v>1</v>
      </c>
      <c r="W71" s="16">
        <f t="shared" ca="1" si="10"/>
        <v>0</v>
      </c>
      <c r="X71" s="17">
        <f t="shared" ca="1" si="11"/>
        <v>31</v>
      </c>
      <c r="Y71" s="15"/>
    </row>
    <row r="72" spans="1:25" x14ac:dyDescent="0.35">
      <c r="A72" s="25">
        <f t="shared" si="12"/>
        <v>44</v>
      </c>
      <c r="B72" s="21">
        <f ca="1">EDATE($B$28,44)</f>
        <v>45566</v>
      </c>
      <c r="C72" s="21">
        <f t="shared" ca="1" si="5"/>
        <v>45566</v>
      </c>
      <c r="D72" s="25">
        <f t="shared" ca="1" si="28"/>
        <v>30</v>
      </c>
      <c r="E72" s="22">
        <f t="shared" si="29"/>
        <v>133333.47666666645</v>
      </c>
      <c r="F72" s="22">
        <f>IF(AND(A71="",A73=""),"",IF(A72="",ROUND(SUM($F$29:F71),2),IF(A72=$D$8,$E$28-ROUND(SUM($F$29:F71),2),ROUND($E$28/$D$8,2))))</f>
        <v>8333.33</v>
      </c>
      <c r="G72" s="22">
        <f ca="1">IF(A71=$D$8,ROUND(SUM($G$29:G71),2),IF(A72&gt;$F$8,"",IF(U72&lt;&gt;U71,ROUND(SUM(W72*$F$9*E71/U72,X72*$F$9*E71/U71),2),ROUND(E71*$F$9*D72/U71,2))))</f>
        <v>3482.45</v>
      </c>
      <c r="H72" s="22">
        <f ca="1">IF(A71=$D$8,SUM($H$29:H71),IF(A71&gt;$D$8,"",F72+G72))</f>
        <v>11815.779999999999</v>
      </c>
      <c r="I72" s="22" t="str">
        <f t="shared" si="21"/>
        <v/>
      </c>
      <c r="J72" s="22" t="str">
        <f t="shared" si="22"/>
        <v/>
      </c>
      <c r="K72" s="22" t="str">
        <f t="shared" si="23"/>
        <v/>
      </c>
      <c r="L72" s="22" t="str">
        <f t="shared" si="24"/>
        <v/>
      </c>
      <c r="M72" s="22" t="str">
        <f t="shared" si="31"/>
        <v/>
      </c>
      <c r="N72" s="22" t="str">
        <f t="shared" si="26"/>
        <v/>
      </c>
      <c r="O72" s="22" t="str">
        <f t="shared" si="30"/>
        <v/>
      </c>
      <c r="P72" s="22"/>
      <c r="Q72" s="68" t="str">
        <f>IF(A71=$D$8,XIRR(S$28:S71,C$28:C71),"")</f>
        <v/>
      </c>
      <c r="R72" s="22" t="str">
        <f t="shared" si="4"/>
        <v/>
      </c>
      <c r="S72" s="22">
        <f t="shared" ca="1" si="6"/>
        <v>11815.779999999999</v>
      </c>
      <c r="T72" s="15">
        <f t="shared" ca="1" si="7"/>
        <v>2024</v>
      </c>
      <c r="U72" s="15">
        <f t="shared" ca="1" si="8"/>
        <v>366</v>
      </c>
      <c r="V72" s="15">
        <f t="shared" ca="1" si="9"/>
        <v>1</v>
      </c>
      <c r="W72" s="16">
        <f t="shared" ca="1" si="10"/>
        <v>0</v>
      </c>
      <c r="X72" s="17">
        <f t="shared" ca="1" si="11"/>
        <v>30</v>
      </c>
      <c r="Y72" s="15"/>
    </row>
    <row r="73" spans="1:25" x14ac:dyDescent="0.35">
      <c r="A73" s="25">
        <f t="shared" si="12"/>
        <v>45</v>
      </c>
      <c r="B73" s="21">
        <f ca="1">EDATE($B$28,45)</f>
        <v>45597</v>
      </c>
      <c r="C73" s="21">
        <f t="shared" ca="1" si="5"/>
        <v>45597</v>
      </c>
      <c r="D73" s="25">
        <f t="shared" ca="1" si="28"/>
        <v>31</v>
      </c>
      <c r="E73" s="22">
        <f t="shared" si="29"/>
        <v>125000.14666666645</v>
      </c>
      <c r="F73" s="22">
        <f>IF(AND(A72="",A74=""),"",IF(A73="",ROUND(SUM($F$29:F72),2),IF(A73=$D$8,$E$28-ROUND(SUM($F$29:F72),2),ROUND($E$28/$D$8,2))))</f>
        <v>8333.33</v>
      </c>
      <c r="G73" s="22">
        <f ca="1">IF(A72=$D$8,ROUND(SUM($G$29:G72),2),IF(A73&gt;$F$8,"",IF(U73&lt;&gt;U72,ROUND(SUM(W73*$F$9*E72/U73,X73*$F$9*E72/U72),2),ROUND(E72*$F$9*D73/U72,2))))</f>
        <v>3386.85</v>
      </c>
      <c r="H73" s="22">
        <f ca="1">IF(A72=$D$8,SUM($H$29:H72),IF(A72&gt;$D$8,"",F73+G73))</f>
        <v>11720.18</v>
      </c>
      <c r="I73" s="22" t="str">
        <f t="shared" si="21"/>
        <v/>
      </c>
      <c r="J73" s="22" t="str">
        <f t="shared" si="22"/>
        <v/>
      </c>
      <c r="K73" s="22" t="str">
        <f t="shared" si="23"/>
        <v/>
      </c>
      <c r="L73" s="22" t="str">
        <f t="shared" si="24"/>
        <v/>
      </c>
      <c r="M73" s="22" t="str">
        <f t="shared" si="31"/>
        <v/>
      </c>
      <c r="N73" s="22" t="str">
        <f t="shared" si="26"/>
        <v/>
      </c>
      <c r="O73" s="22" t="str">
        <f t="shared" si="30"/>
        <v/>
      </c>
      <c r="P73" s="22"/>
      <c r="Q73" s="68" t="str">
        <f>IF(A72=$D$8,XIRR(S$28:S72,C$28:C72),"")</f>
        <v/>
      </c>
      <c r="R73" s="22" t="str">
        <f t="shared" si="4"/>
        <v/>
      </c>
      <c r="S73" s="22">
        <f t="shared" ca="1" si="6"/>
        <v>11720.18</v>
      </c>
      <c r="T73" s="15">
        <f t="shared" ca="1" si="7"/>
        <v>2024</v>
      </c>
      <c r="U73" s="15">
        <f t="shared" ca="1" si="8"/>
        <v>366</v>
      </c>
      <c r="V73" s="15">
        <f t="shared" ca="1" si="9"/>
        <v>1</v>
      </c>
      <c r="W73" s="16">
        <f t="shared" ca="1" si="10"/>
        <v>0</v>
      </c>
      <c r="X73" s="17">
        <f t="shared" ca="1" si="11"/>
        <v>31</v>
      </c>
      <c r="Y73" s="15"/>
    </row>
    <row r="74" spans="1:25" x14ac:dyDescent="0.35">
      <c r="A74" s="25">
        <f t="shared" si="12"/>
        <v>46</v>
      </c>
      <c r="B74" s="21">
        <f ca="1">EDATE($B$28,46)</f>
        <v>45627</v>
      </c>
      <c r="C74" s="21">
        <f t="shared" ca="1" si="5"/>
        <v>45627</v>
      </c>
      <c r="D74" s="25">
        <f t="shared" ca="1" si="28"/>
        <v>30</v>
      </c>
      <c r="E74" s="22">
        <f t="shared" si="29"/>
        <v>116666.81666666645</v>
      </c>
      <c r="F74" s="22">
        <f>IF(AND(A73="",A75=""),"",IF(A74="",ROUND(SUM($F$29:F73),2),IF(A74=$D$8,$E$28-ROUND(SUM($F$29:F73),2),ROUND($E$28/$D$8,2))))</f>
        <v>8333.33</v>
      </c>
      <c r="G74" s="22">
        <f ca="1">IF(A73=$D$8,ROUND(SUM($G$29:G73),2),IF(A74&gt;$F$8,"",IF(U74&lt;&gt;U73,ROUND(SUM(W74*$F$9*E73/U74,X74*$F$9*E73/U73),2),ROUND(E73*$F$9*D74/U73,2))))</f>
        <v>3072.75</v>
      </c>
      <c r="H74" s="22">
        <f ca="1">IF(A73=$D$8,SUM($H$29:H73),IF(A73&gt;$D$8,"",F74+G74))</f>
        <v>11406.08</v>
      </c>
      <c r="I74" s="22" t="str">
        <f t="shared" si="21"/>
        <v/>
      </c>
      <c r="J74" s="22" t="str">
        <f t="shared" si="22"/>
        <v/>
      </c>
      <c r="K74" s="22" t="str">
        <f t="shared" si="23"/>
        <v/>
      </c>
      <c r="L74" s="22" t="str">
        <f t="shared" si="24"/>
        <v/>
      </c>
      <c r="M74" s="22" t="str">
        <f t="shared" si="31"/>
        <v/>
      </c>
      <c r="N74" s="22" t="str">
        <f t="shared" si="26"/>
        <v/>
      </c>
      <c r="O74" s="22" t="str">
        <f t="shared" si="30"/>
        <v/>
      </c>
      <c r="P74" s="22"/>
      <c r="Q74" s="68" t="str">
        <f>IF(A73=$D$8,XIRR(S$28:S73,C$28:C73),"")</f>
        <v/>
      </c>
      <c r="R74" s="22" t="str">
        <f t="shared" si="4"/>
        <v/>
      </c>
      <c r="S74" s="22">
        <f t="shared" ca="1" si="6"/>
        <v>11406.08</v>
      </c>
      <c r="T74" s="15">
        <f t="shared" ca="1" si="7"/>
        <v>2024</v>
      </c>
      <c r="U74" s="15">
        <f t="shared" ca="1" si="8"/>
        <v>366</v>
      </c>
      <c r="V74" s="15">
        <f t="shared" ca="1" si="9"/>
        <v>1</v>
      </c>
      <c r="W74" s="16">
        <f t="shared" ca="1" si="10"/>
        <v>0</v>
      </c>
      <c r="X74" s="17">
        <f t="shared" ca="1" si="11"/>
        <v>30</v>
      </c>
      <c r="Y74" s="15"/>
    </row>
    <row r="75" spans="1:25" x14ac:dyDescent="0.35">
      <c r="A75" s="25">
        <f t="shared" si="12"/>
        <v>47</v>
      </c>
      <c r="B75" s="21">
        <f ca="1">EDATE($B$28,47)</f>
        <v>45658</v>
      </c>
      <c r="C75" s="21">
        <f t="shared" ca="1" si="5"/>
        <v>45658</v>
      </c>
      <c r="D75" s="25">
        <f t="shared" ca="1" si="28"/>
        <v>31</v>
      </c>
      <c r="E75" s="22">
        <f t="shared" si="29"/>
        <v>108333.48666666645</v>
      </c>
      <c r="F75" s="22">
        <f>IF(AND(A74="",A76=""),"",IF(A75="",ROUND(SUM($F$29:F74),2),IF(A75=$D$8,$E$28-ROUND(SUM($F$29:F74),2),ROUND($E$28/$D$8,2))))</f>
        <v>8333.33</v>
      </c>
      <c r="G75" s="22">
        <f ca="1">IF(A74=$D$8,ROUND(SUM($G$29:G74),2),IF(A75&gt;$F$8,"",IF(U75&lt;&gt;U74,ROUND(SUM(W75*$F$9*E74/U75,X75*$F$9*E74/U74),2),ROUND(E74*$F$9*D75/U74,2))))</f>
        <v>2963.5</v>
      </c>
      <c r="H75" s="22">
        <f ca="1">IF(A74=$D$8,SUM($H$29:H74),IF(A74&gt;$D$8,"",F75+G75))</f>
        <v>11296.83</v>
      </c>
      <c r="I75" s="22" t="str">
        <f t="shared" si="21"/>
        <v/>
      </c>
      <c r="J75" s="22" t="str">
        <f t="shared" si="22"/>
        <v/>
      </c>
      <c r="K75" s="22" t="str">
        <f t="shared" si="23"/>
        <v/>
      </c>
      <c r="L75" s="22" t="str">
        <f t="shared" si="24"/>
        <v/>
      </c>
      <c r="M75" s="22" t="str">
        <f t="shared" si="31"/>
        <v/>
      </c>
      <c r="N75" s="22" t="str">
        <f t="shared" si="26"/>
        <v/>
      </c>
      <c r="O75" s="22" t="str">
        <f t="shared" si="30"/>
        <v/>
      </c>
      <c r="P75" s="22"/>
      <c r="Q75" s="68" t="str">
        <f>IF(A74=$D$8,XIRR(S$28:S74,C$28:C74),"")</f>
        <v/>
      </c>
      <c r="R75" s="22" t="str">
        <f t="shared" si="4"/>
        <v/>
      </c>
      <c r="S75" s="22">
        <f t="shared" ca="1" si="6"/>
        <v>11296.83</v>
      </c>
      <c r="T75" s="15">
        <f t="shared" ca="1" si="7"/>
        <v>2025</v>
      </c>
      <c r="U75" s="15">
        <f t="shared" ca="1" si="8"/>
        <v>365</v>
      </c>
      <c r="V75" s="15">
        <f t="shared" ca="1" si="9"/>
        <v>1</v>
      </c>
      <c r="W75" s="16">
        <f t="shared" ca="1" si="10"/>
        <v>0</v>
      </c>
      <c r="X75" s="17">
        <f t="shared" ca="1" si="11"/>
        <v>31</v>
      </c>
      <c r="Y75" s="15"/>
    </row>
    <row r="76" spans="1:25" x14ac:dyDescent="0.35">
      <c r="A76" s="25">
        <f t="shared" si="12"/>
        <v>48</v>
      </c>
      <c r="B76" s="21">
        <f ca="1">EDATE($B$28,48)</f>
        <v>45689</v>
      </c>
      <c r="C76" s="21">
        <f t="shared" ca="1" si="5"/>
        <v>45689</v>
      </c>
      <c r="D76" s="25">
        <f t="shared" ca="1" si="28"/>
        <v>31</v>
      </c>
      <c r="E76" s="22">
        <f t="shared" si="29"/>
        <v>100000.15666666644</v>
      </c>
      <c r="F76" s="22">
        <f>IF(AND(A75="",A77=""),"",IF(A76="",ROUND(SUM($F$29:F75),2),IF(A76=$D$8,$E$28-ROUND(SUM($F$29:F75),2),ROUND($E$28/$D$8,2))))</f>
        <v>8333.33</v>
      </c>
      <c r="G76" s="22">
        <f ca="1">IF(A75=$D$8,ROUND(SUM($G$29:G75),2),IF(A76&gt;$F$8,"",IF(U76&lt;&gt;U75,ROUND(SUM(W76*$F$9*E75/U76,X76*$F$9*E75/U75),2),ROUND(E75*$F$9*D76/U75,2))))</f>
        <v>2759.36</v>
      </c>
      <c r="H76" s="22">
        <f ca="1">IF(A75=$D$8,SUM($H$29:H75),IF(A75&gt;$D$8,"",F76+G76))</f>
        <v>11092.69</v>
      </c>
      <c r="I76" s="22" t="str">
        <f t="shared" si="21"/>
        <v/>
      </c>
      <c r="J76" s="22" t="str">
        <f t="shared" si="22"/>
        <v/>
      </c>
      <c r="K76" s="22" t="str">
        <f t="shared" si="23"/>
        <v/>
      </c>
      <c r="L76" s="22" t="str">
        <f t="shared" si="24"/>
        <v/>
      </c>
      <c r="M76" s="22" t="str">
        <f t="shared" si="31"/>
        <v/>
      </c>
      <c r="N76" s="22" t="str">
        <f t="shared" si="26"/>
        <v/>
      </c>
      <c r="O76" s="22" t="str">
        <f t="shared" si="30"/>
        <v/>
      </c>
      <c r="P76" s="22"/>
      <c r="Q76" s="68" t="str">
        <f>IF(A75=$D$8,XIRR(S$28:S75,C$28:C75),"")</f>
        <v/>
      </c>
      <c r="R76" s="22" t="str">
        <f t="shared" si="4"/>
        <v/>
      </c>
      <c r="S76" s="22">
        <f t="shared" ca="1" si="6"/>
        <v>11092.69</v>
      </c>
      <c r="T76" s="15">
        <f t="shared" ca="1" si="7"/>
        <v>2025</v>
      </c>
      <c r="U76" s="15">
        <f t="shared" ca="1" si="8"/>
        <v>365</v>
      </c>
      <c r="V76" s="15">
        <f t="shared" ca="1" si="9"/>
        <v>1</v>
      </c>
      <c r="W76" s="16">
        <f t="shared" ca="1" si="10"/>
        <v>0</v>
      </c>
      <c r="X76" s="17">
        <f t="shared" ca="1" si="11"/>
        <v>31</v>
      </c>
      <c r="Y76" s="15"/>
    </row>
    <row r="77" spans="1:25" x14ac:dyDescent="0.35">
      <c r="A77" s="25">
        <f t="shared" si="12"/>
        <v>49</v>
      </c>
      <c r="B77" s="21">
        <f ca="1">EDATE($B$28,49)</f>
        <v>45717</v>
      </c>
      <c r="C77" s="21">
        <f t="shared" ca="1" si="5"/>
        <v>45717</v>
      </c>
      <c r="D77" s="25">
        <f t="shared" ca="1" si="28"/>
        <v>28</v>
      </c>
      <c r="E77" s="22">
        <f t="shared" si="29"/>
        <v>91666.826666666442</v>
      </c>
      <c r="F77" s="22">
        <f>IF(AND(A76="",A78=""),"",IF(A77="",ROUND(SUM($F$29:F76),2),IF(A77=$D$8,$E$28-ROUND(SUM($F$29:F76),2),ROUND($E$28/$D$8,2))))</f>
        <v>8333.33</v>
      </c>
      <c r="G77" s="22">
        <f ca="1">IF(A76=$D$8,ROUND(SUM($G$29:G76),2),IF(A77&gt;$F$8,"",IF(U77&lt;&gt;U76,ROUND(SUM(W77*$F$9*E76/U77,X77*$F$9*E76/U76),2),ROUND(E76*$F$9*D77/U76,2))))</f>
        <v>2300.61</v>
      </c>
      <c r="H77" s="22">
        <f ca="1">IF(A76=$D$8,SUM($H$29:H76),IF(A76&gt;$D$8,"",F77+G77))</f>
        <v>10633.94</v>
      </c>
      <c r="I77" s="22" t="str">
        <f t="shared" si="21"/>
        <v/>
      </c>
      <c r="J77" s="22" t="str">
        <f t="shared" si="22"/>
        <v/>
      </c>
      <c r="K77" s="22" t="str">
        <f t="shared" si="23"/>
        <v/>
      </c>
      <c r="L77" s="22" t="str">
        <f t="shared" si="24"/>
        <v/>
      </c>
      <c r="M77" s="22" t="str">
        <f t="shared" si="31"/>
        <v/>
      </c>
      <c r="N77" s="22" t="str">
        <f t="shared" si="26"/>
        <v/>
      </c>
      <c r="O77" s="213">
        <f>IF($F$8&gt;48,($P$17),IF($A$76=$F$8,O65+O53+O41+O28,""))</f>
        <v>2181</v>
      </c>
      <c r="P77" s="22"/>
      <c r="Q77" s="68" t="str">
        <f>IF(A76=$D$8,XIRR(S$28:S76,C$28:C76),"")</f>
        <v/>
      </c>
      <c r="R77" s="22" t="str">
        <f t="shared" si="4"/>
        <v/>
      </c>
      <c r="S77" s="22">
        <f t="shared" ca="1" si="6"/>
        <v>12814.94</v>
      </c>
      <c r="T77" s="15">
        <f t="shared" ca="1" si="7"/>
        <v>2025</v>
      </c>
      <c r="U77" s="15">
        <f t="shared" ca="1" si="8"/>
        <v>365</v>
      </c>
      <c r="V77" s="15">
        <f t="shared" ca="1" si="9"/>
        <v>1</v>
      </c>
      <c r="W77" s="16">
        <f t="shared" ca="1" si="10"/>
        <v>0</v>
      </c>
      <c r="X77" s="17">
        <f t="shared" ca="1" si="11"/>
        <v>28</v>
      </c>
      <c r="Y77" s="15"/>
    </row>
    <row r="78" spans="1:25" x14ac:dyDescent="0.35">
      <c r="A78" s="25">
        <f t="shared" si="12"/>
        <v>50</v>
      </c>
      <c r="B78" s="21">
        <f ca="1">EDATE($B$28,50)</f>
        <v>45748</v>
      </c>
      <c r="C78" s="21">
        <f t="shared" ca="1" si="5"/>
        <v>45748</v>
      </c>
      <c r="D78" s="25">
        <f t="shared" ca="1" si="28"/>
        <v>31</v>
      </c>
      <c r="E78" s="22">
        <f t="shared" si="29"/>
        <v>83333.49666666644</v>
      </c>
      <c r="F78" s="22">
        <f>IF(AND(A77="",A79=""),"",IF(A78="",ROUND(SUM($F$29:F77),2),IF(A78=$D$8,$E$28-ROUND(SUM($F$29:F77),2),ROUND($E$28/$D$8,2))))</f>
        <v>8333.33</v>
      </c>
      <c r="G78" s="22">
        <f ca="1">IF(A77=$D$8,ROUND(SUM($G$29:G77),2),IF(A78&gt;$F$8,"",IF(U78&lt;&gt;U77,ROUND(SUM(W78*$F$9*E77/U78,X78*$F$9*E77/U77),2),ROUND(E77*$F$9*D78/U77,2))))</f>
        <v>2334.84</v>
      </c>
      <c r="H78" s="22">
        <f ca="1">IF(A77=$D$8,SUM($H$29:H77),IF(A77&gt;$D$8,"",F78+G78))</f>
        <v>10668.17</v>
      </c>
      <c r="I78" s="22" t="str">
        <f t="shared" si="21"/>
        <v/>
      </c>
      <c r="J78" s="22" t="str">
        <f t="shared" si="22"/>
        <v/>
      </c>
      <c r="K78" s="22" t="str">
        <f t="shared" si="23"/>
        <v/>
      </c>
      <c r="L78" s="22" t="str">
        <f t="shared" si="24"/>
        <v/>
      </c>
      <c r="M78" s="22" t="str">
        <f t="shared" si="31"/>
        <v/>
      </c>
      <c r="N78" s="22" t="str">
        <f t="shared" si="26"/>
        <v/>
      </c>
      <c r="O78" s="22" t="str">
        <f t="shared" si="30"/>
        <v/>
      </c>
      <c r="P78" s="22"/>
      <c r="Q78" s="68" t="str">
        <f>IF(A77=$D$8,XIRR(S$28:S77,C$28:C77),"")</f>
        <v/>
      </c>
      <c r="R78" s="22" t="str">
        <f t="shared" si="4"/>
        <v/>
      </c>
      <c r="S78" s="22">
        <f t="shared" ca="1" si="6"/>
        <v>10668.17</v>
      </c>
      <c r="T78" s="15">
        <f t="shared" ca="1" si="7"/>
        <v>2025</v>
      </c>
      <c r="U78" s="15">
        <f t="shared" ca="1" si="8"/>
        <v>365</v>
      </c>
      <c r="V78" s="15">
        <f t="shared" ca="1" si="9"/>
        <v>1</v>
      </c>
      <c r="W78" s="16">
        <f t="shared" ca="1" si="10"/>
        <v>0</v>
      </c>
      <c r="X78" s="17">
        <f t="shared" ca="1" si="11"/>
        <v>31</v>
      </c>
      <c r="Y78" s="15"/>
    </row>
    <row r="79" spans="1:25" x14ac:dyDescent="0.35">
      <c r="A79" s="25">
        <f t="shared" si="12"/>
        <v>51</v>
      </c>
      <c r="B79" s="21">
        <f ca="1">EDATE($B$28,51)</f>
        <v>45778</v>
      </c>
      <c r="C79" s="21">
        <f t="shared" ca="1" si="5"/>
        <v>45778</v>
      </c>
      <c r="D79" s="25">
        <f t="shared" ca="1" si="28"/>
        <v>30</v>
      </c>
      <c r="E79" s="22">
        <f t="shared" si="29"/>
        <v>75000.166666666439</v>
      </c>
      <c r="F79" s="22">
        <f>IF(AND(A78="",A80=""),"",IF(A79="",ROUND(SUM($F$29:F78),2),IF(A79=$D$8,$E$28-ROUND(SUM($F$29:F78),2),ROUND($E$28/$D$8,2))))</f>
        <v>8333.33</v>
      </c>
      <c r="G79" s="22">
        <f ca="1">IF(A78=$D$8,ROUND(SUM($G$29:G78),2),IF(A79&gt;$F$8,"",IF(U79&lt;&gt;U78,ROUND(SUM(W79*$F$9*E78/U79,X79*$F$9*E78/U78),2),ROUND(E78*$F$9*D79/U78,2))))</f>
        <v>2054.11</v>
      </c>
      <c r="H79" s="22">
        <f ca="1">IF(A78=$D$8,SUM($H$29:H78),IF(A78&gt;$D$8,"",F79+G79))</f>
        <v>10387.44</v>
      </c>
      <c r="I79" s="22" t="str">
        <f t="shared" si="21"/>
        <v/>
      </c>
      <c r="J79" s="22" t="str">
        <f t="shared" si="22"/>
        <v/>
      </c>
      <c r="K79" s="22" t="str">
        <f t="shared" si="23"/>
        <v/>
      </c>
      <c r="L79" s="22" t="str">
        <f t="shared" si="24"/>
        <v/>
      </c>
      <c r="M79" s="22" t="str">
        <f t="shared" si="31"/>
        <v/>
      </c>
      <c r="N79" s="22" t="str">
        <f t="shared" si="26"/>
        <v/>
      </c>
      <c r="O79" s="22" t="str">
        <f t="shared" si="30"/>
        <v/>
      </c>
      <c r="P79" s="22"/>
      <c r="Q79" s="68" t="str">
        <f>IF(A78=$D$8,XIRR(S$28:S78,C$28:C78),"")</f>
        <v/>
      </c>
      <c r="R79" s="22" t="str">
        <f t="shared" si="4"/>
        <v/>
      </c>
      <c r="S79" s="22">
        <f t="shared" ca="1" si="6"/>
        <v>10387.44</v>
      </c>
      <c r="T79" s="15">
        <f t="shared" ca="1" si="7"/>
        <v>2025</v>
      </c>
      <c r="U79" s="15">
        <f t="shared" ca="1" si="8"/>
        <v>365</v>
      </c>
      <c r="V79" s="15">
        <f t="shared" ca="1" si="9"/>
        <v>1</v>
      </c>
      <c r="W79" s="16">
        <f t="shared" ca="1" si="10"/>
        <v>0</v>
      </c>
      <c r="X79" s="17">
        <f t="shared" ca="1" si="11"/>
        <v>30</v>
      </c>
      <c r="Y79" s="15"/>
    </row>
    <row r="80" spans="1:25" x14ac:dyDescent="0.35">
      <c r="A80" s="25">
        <f t="shared" si="12"/>
        <v>52</v>
      </c>
      <c r="B80" s="21">
        <f ca="1">EDATE($B$28,52)</f>
        <v>45809</v>
      </c>
      <c r="C80" s="21">
        <f t="shared" ca="1" si="5"/>
        <v>45809</v>
      </c>
      <c r="D80" s="25">
        <f t="shared" ca="1" si="28"/>
        <v>31</v>
      </c>
      <c r="E80" s="22">
        <f t="shared" si="29"/>
        <v>66666.836666666437</v>
      </c>
      <c r="F80" s="22">
        <f>IF(AND(A79="",A81=""),"",IF(A80="",ROUND(SUM($F$29:F79),2),IF(A80=$D$8,$E$28-ROUND(SUM($F$29:F79),2),ROUND($E$28/$D$8,2))))</f>
        <v>8333.33</v>
      </c>
      <c r="G80" s="22">
        <f ca="1">IF(A79=$D$8,ROUND(SUM($G$29:G79),2),IF(A80&gt;$F$8,"",IF(U80&lt;&gt;U79,ROUND(SUM(W80*$F$9*E79/U80,X80*$F$9*E79/U79),2),ROUND(E79*$F$9*D80/U79,2))))</f>
        <v>1910.33</v>
      </c>
      <c r="H80" s="22">
        <f ca="1">IF(A79=$D$8,SUM($H$29:H79),IF(A79&gt;$D$8,"",F80+G80))</f>
        <v>10243.66</v>
      </c>
      <c r="I80" s="22" t="str">
        <f t="shared" si="21"/>
        <v/>
      </c>
      <c r="J80" s="22" t="str">
        <f t="shared" si="22"/>
        <v/>
      </c>
      <c r="K80" s="22" t="str">
        <f t="shared" si="23"/>
        <v/>
      </c>
      <c r="L80" s="22" t="str">
        <f t="shared" si="24"/>
        <v/>
      </c>
      <c r="M80" s="22" t="str">
        <f t="shared" si="31"/>
        <v/>
      </c>
      <c r="N80" s="22" t="str">
        <f t="shared" si="26"/>
        <v/>
      </c>
      <c r="O80" s="22" t="str">
        <f t="shared" si="30"/>
        <v/>
      </c>
      <c r="P80" s="22"/>
      <c r="Q80" s="68" t="str">
        <f>IF(A79=$D$8,XIRR(S$28:S79,C$28:C79),"")</f>
        <v/>
      </c>
      <c r="R80" s="22" t="str">
        <f t="shared" si="4"/>
        <v/>
      </c>
      <c r="S80" s="22">
        <f t="shared" ca="1" si="6"/>
        <v>10243.66</v>
      </c>
      <c r="T80" s="15">
        <f t="shared" ca="1" si="7"/>
        <v>2025</v>
      </c>
      <c r="U80" s="15">
        <f t="shared" ca="1" si="8"/>
        <v>365</v>
      </c>
      <c r="V80" s="15">
        <f t="shared" ca="1" si="9"/>
        <v>1</v>
      </c>
      <c r="W80" s="16">
        <f t="shared" ca="1" si="10"/>
        <v>0</v>
      </c>
      <c r="X80" s="17">
        <f t="shared" ca="1" si="11"/>
        <v>31</v>
      </c>
      <c r="Y80" s="15"/>
    </row>
    <row r="81" spans="1:25" x14ac:dyDescent="0.35">
      <c r="A81" s="25">
        <f t="shared" si="12"/>
        <v>53</v>
      </c>
      <c r="B81" s="21">
        <f ca="1">EDATE($B$28,53)</f>
        <v>45839</v>
      </c>
      <c r="C81" s="21">
        <f t="shared" ca="1" si="5"/>
        <v>45839</v>
      </c>
      <c r="D81" s="25">
        <f t="shared" ca="1" si="28"/>
        <v>30</v>
      </c>
      <c r="E81" s="22">
        <f t="shared" si="29"/>
        <v>58333.506666666435</v>
      </c>
      <c r="F81" s="22">
        <f>IF(AND(A80="",A82=""),"",IF(A81="",ROUND(SUM($F$29:F80),2),IF(A81=$D$8,$E$28-ROUND(SUM($F$29:F80),2),ROUND($E$28/$D$8,2))))</f>
        <v>8333.33</v>
      </c>
      <c r="G81" s="22">
        <f ca="1">IF(A80=$D$8,ROUND(SUM($G$29:G80),2),IF(A81&gt;$F$8,"",IF(U81&lt;&gt;U80,ROUND(SUM(W81*$F$9*E80/U81,X81*$F$9*E80/U80),2),ROUND(E80*$F$9*D81/U80,2))))</f>
        <v>1643.29</v>
      </c>
      <c r="H81" s="22">
        <f ca="1">IF(A80=$D$8,SUM($H$29:H80),IF(A80&gt;$D$8,"",F81+G81))</f>
        <v>9976.619999999999</v>
      </c>
      <c r="I81" s="22" t="str">
        <f t="shared" si="21"/>
        <v/>
      </c>
      <c r="J81" s="22" t="str">
        <f t="shared" si="22"/>
        <v/>
      </c>
      <c r="K81" s="22" t="str">
        <f t="shared" si="23"/>
        <v/>
      </c>
      <c r="L81" s="22" t="str">
        <f t="shared" si="24"/>
        <v/>
      </c>
      <c r="M81" s="22" t="str">
        <f t="shared" si="31"/>
        <v/>
      </c>
      <c r="N81" s="22" t="str">
        <f t="shared" si="26"/>
        <v/>
      </c>
      <c r="O81" s="22" t="str">
        <f t="shared" si="30"/>
        <v/>
      </c>
      <c r="P81" s="22"/>
      <c r="Q81" s="68" t="str">
        <f>IF(A80=$D$8,XIRR(S$28:S80,C$28:C80),"")</f>
        <v/>
      </c>
      <c r="R81" s="22" t="str">
        <f t="shared" si="4"/>
        <v/>
      </c>
      <c r="S81" s="22">
        <f t="shared" ca="1" si="6"/>
        <v>9976.619999999999</v>
      </c>
      <c r="T81" s="15">
        <f t="shared" ca="1" si="7"/>
        <v>2025</v>
      </c>
      <c r="U81" s="15">
        <f t="shared" ca="1" si="8"/>
        <v>365</v>
      </c>
      <c r="V81" s="15">
        <f t="shared" ca="1" si="9"/>
        <v>1</v>
      </c>
      <c r="W81" s="16">
        <f t="shared" ca="1" si="10"/>
        <v>0</v>
      </c>
      <c r="X81" s="17">
        <f t="shared" ca="1" si="11"/>
        <v>30</v>
      </c>
      <c r="Y81" s="15"/>
    </row>
    <row r="82" spans="1:25" x14ac:dyDescent="0.35">
      <c r="A82" s="25">
        <f t="shared" si="12"/>
        <v>54</v>
      </c>
      <c r="B82" s="21">
        <f ca="1">EDATE($B$28,54)</f>
        <v>45870</v>
      </c>
      <c r="C82" s="21">
        <f t="shared" ca="1" si="5"/>
        <v>45870</v>
      </c>
      <c r="D82" s="25">
        <f t="shared" ca="1" si="28"/>
        <v>31</v>
      </c>
      <c r="E82" s="22">
        <f t="shared" si="29"/>
        <v>50000.176666666433</v>
      </c>
      <c r="F82" s="22">
        <f>IF(AND(A81="",A83=""),"",IF(A82="",ROUND(SUM($F$29:F81),2),IF(A82=$D$8,$E$28-ROUND(SUM($F$29:F81),2),ROUND($E$28/$D$8,2))))</f>
        <v>8333.33</v>
      </c>
      <c r="G82" s="22">
        <f ca="1">IF(A81=$D$8,ROUND(SUM($G$29:G81),2),IF(A82&gt;$F$8,"",IF(U82&lt;&gt;U81,ROUND(SUM(W82*$F$9*E81/U82,X82*$F$9*E81/U81),2),ROUND(E81*$F$9*D82/U81,2))))</f>
        <v>1485.81</v>
      </c>
      <c r="H82" s="22">
        <f ca="1">IF(A81=$D$8,SUM($H$29:H81),IF(A81&gt;$D$8,"",F82+G82))</f>
        <v>9819.14</v>
      </c>
      <c r="I82" s="22" t="str">
        <f t="shared" si="21"/>
        <v/>
      </c>
      <c r="J82" s="22" t="str">
        <f t="shared" si="22"/>
        <v/>
      </c>
      <c r="K82" s="22" t="str">
        <f t="shared" si="23"/>
        <v/>
      </c>
      <c r="L82" s="22" t="str">
        <f t="shared" si="24"/>
        <v/>
      </c>
      <c r="M82" s="22" t="str">
        <f t="shared" si="31"/>
        <v/>
      </c>
      <c r="N82" s="22" t="str">
        <f t="shared" si="26"/>
        <v/>
      </c>
      <c r="O82" s="22" t="str">
        <f t="shared" si="30"/>
        <v/>
      </c>
      <c r="P82" s="22"/>
      <c r="Q82" s="68" t="str">
        <f>IF(A81=$D$8,XIRR(S$28:S81,C$28:C81),"")</f>
        <v/>
      </c>
      <c r="R82" s="22" t="str">
        <f t="shared" si="4"/>
        <v/>
      </c>
      <c r="S82" s="22">
        <f t="shared" ca="1" si="6"/>
        <v>9819.14</v>
      </c>
      <c r="T82" s="15">
        <f t="shared" ca="1" si="7"/>
        <v>2025</v>
      </c>
      <c r="U82" s="15">
        <f t="shared" ca="1" si="8"/>
        <v>365</v>
      </c>
      <c r="V82" s="15">
        <f t="shared" ca="1" si="9"/>
        <v>1</v>
      </c>
      <c r="W82" s="16">
        <f t="shared" ca="1" si="10"/>
        <v>0</v>
      </c>
      <c r="X82" s="17">
        <f t="shared" ca="1" si="11"/>
        <v>31</v>
      </c>
      <c r="Y82" s="15"/>
    </row>
    <row r="83" spans="1:25" x14ac:dyDescent="0.35">
      <c r="A83" s="25">
        <f t="shared" si="12"/>
        <v>55</v>
      </c>
      <c r="B83" s="21">
        <f ca="1">EDATE($B$28,55)</f>
        <v>45901</v>
      </c>
      <c r="C83" s="21">
        <f t="shared" ca="1" si="5"/>
        <v>45901</v>
      </c>
      <c r="D83" s="25">
        <f t="shared" ca="1" si="28"/>
        <v>31</v>
      </c>
      <c r="E83" s="22">
        <f t="shared" si="29"/>
        <v>41666.846666666432</v>
      </c>
      <c r="F83" s="22">
        <f>IF(AND(A82="",A84=""),"",IF(A83="",ROUND(SUM($F$29:F82),2),IF(A83=$D$8,$E$28-ROUND(SUM($F$29:F82),2),ROUND($E$28/$D$8,2))))</f>
        <v>8333.33</v>
      </c>
      <c r="G83" s="22">
        <f ca="1">IF(A82=$D$8,ROUND(SUM($G$29:G82),2),IF(A83&gt;$F$8,"",IF(U83&lt;&gt;U82,ROUND(SUM(W83*$F$9*E82/U83,X83*$F$9*E82/U82),2),ROUND(E82*$F$9*D83/U82,2))))</f>
        <v>1273.55</v>
      </c>
      <c r="H83" s="22">
        <f ca="1">IF(A82=$D$8,SUM($H$29:H82),IF(A82&gt;$D$8,"",F83+G83))</f>
        <v>9606.8799999999992</v>
      </c>
      <c r="I83" s="22" t="str">
        <f t="shared" si="21"/>
        <v/>
      </c>
      <c r="J83" s="22" t="str">
        <f t="shared" si="22"/>
        <v/>
      </c>
      <c r="K83" s="22" t="str">
        <f t="shared" si="23"/>
        <v/>
      </c>
      <c r="L83" s="22" t="str">
        <f t="shared" si="24"/>
        <v/>
      </c>
      <c r="M83" s="22" t="str">
        <f t="shared" si="31"/>
        <v/>
      </c>
      <c r="N83" s="22" t="str">
        <f t="shared" si="26"/>
        <v/>
      </c>
      <c r="O83" s="22" t="str">
        <f t="shared" si="30"/>
        <v/>
      </c>
      <c r="P83" s="22"/>
      <c r="Q83" s="68" t="str">
        <f>IF(A82=$D$8,XIRR(S$28:S82,C$28:C82),"")</f>
        <v/>
      </c>
      <c r="R83" s="22" t="str">
        <f t="shared" si="4"/>
        <v/>
      </c>
      <c r="S83" s="22">
        <f t="shared" ca="1" si="6"/>
        <v>9606.8799999999992</v>
      </c>
      <c r="T83" s="15">
        <f t="shared" ca="1" si="7"/>
        <v>2025</v>
      </c>
      <c r="U83" s="15">
        <f t="shared" ca="1" si="8"/>
        <v>365</v>
      </c>
      <c r="V83" s="15">
        <f t="shared" ca="1" si="9"/>
        <v>1</v>
      </c>
      <c r="W83" s="16">
        <f t="shared" ca="1" si="10"/>
        <v>0</v>
      </c>
      <c r="X83" s="17">
        <f t="shared" ca="1" si="11"/>
        <v>31</v>
      </c>
      <c r="Y83" s="15"/>
    </row>
    <row r="84" spans="1:25" x14ac:dyDescent="0.35">
      <c r="A84" s="25">
        <f t="shared" si="12"/>
        <v>56</v>
      </c>
      <c r="B84" s="21">
        <f ca="1">EDATE($B$28,56)</f>
        <v>45931</v>
      </c>
      <c r="C84" s="21">
        <f t="shared" ca="1" si="5"/>
        <v>45931</v>
      </c>
      <c r="D84" s="25">
        <f t="shared" ca="1" si="28"/>
        <v>30</v>
      </c>
      <c r="E84" s="22">
        <f t="shared" si="29"/>
        <v>33333.51666666643</v>
      </c>
      <c r="F84" s="22">
        <f>IF(AND(A83="",A85=""),"",IF(A84="",ROUND(SUM($F$29:F83),2),IF(A84=$D$8,$E$28-ROUND(SUM($F$29:F83),2),ROUND($E$28/$D$8,2))))</f>
        <v>8333.33</v>
      </c>
      <c r="G84" s="22">
        <f ca="1">IF(A83=$D$8,ROUND(SUM($G$29:G83),2),IF(A84&gt;$F$8,"",IF(U84&lt;&gt;U83,ROUND(SUM(W84*$F$9*E83/U84,X84*$F$9*E83/U83),2),ROUND(E83*$F$9*D84/U83,2))))</f>
        <v>1027.06</v>
      </c>
      <c r="H84" s="22">
        <f ca="1">IF(A83=$D$8,SUM($H$29:H83),IF(A83&gt;$D$8,"",F84+G84))</f>
        <v>9360.39</v>
      </c>
      <c r="I84" s="22" t="str">
        <f t="shared" si="21"/>
        <v/>
      </c>
      <c r="J84" s="22" t="str">
        <f t="shared" si="22"/>
        <v/>
      </c>
      <c r="K84" s="22" t="str">
        <f t="shared" si="23"/>
        <v/>
      </c>
      <c r="L84" s="22" t="str">
        <f t="shared" si="24"/>
        <v/>
      </c>
      <c r="M84" s="22" t="str">
        <f t="shared" si="31"/>
        <v/>
      </c>
      <c r="N84" s="22" t="str">
        <f t="shared" si="26"/>
        <v/>
      </c>
      <c r="O84" s="22" t="str">
        <f t="shared" si="30"/>
        <v/>
      </c>
      <c r="P84" s="22"/>
      <c r="Q84" s="68" t="str">
        <f>IF(A83=$D$8,XIRR(S$28:S83,C$28:C83),"")</f>
        <v/>
      </c>
      <c r="R84" s="22" t="str">
        <f t="shared" si="4"/>
        <v/>
      </c>
      <c r="S84" s="22">
        <f t="shared" ca="1" si="6"/>
        <v>9360.39</v>
      </c>
      <c r="T84" s="15">
        <f t="shared" ca="1" si="7"/>
        <v>2025</v>
      </c>
      <c r="U84" s="15">
        <f t="shared" ca="1" si="8"/>
        <v>365</v>
      </c>
      <c r="V84" s="15">
        <f t="shared" ca="1" si="9"/>
        <v>1</v>
      </c>
      <c r="W84" s="16">
        <f t="shared" ca="1" si="10"/>
        <v>0</v>
      </c>
      <c r="X84" s="17">
        <f t="shared" ca="1" si="11"/>
        <v>30</v>
      </c>
      <c r="Y84" s="15"/>
    </row>
    <row r="85" spans="1:25" x14ac:dyDescent="0.35">
      <c r="A85" s="25">
        <f t="shared" si="12"/>
        <v>57</v>
      </c>
      <c r="B85" s="21">
        <f ca="1">EDATE($B$28,57)</f>
        <v>45962</v>
      </c>
      <c r="C85" s="21">
        <f t="shared" ca="1" si="5"/>
        <v>45962</v>
      </c>
      <c r="D85" s="25">
        <f t="shared" ca="1" si="28"/>
        <v>31</v>
      </c>
      <c r="E85" s="22">
        <f t="shared" si="29"/>
        <v>25000.186666666428</v>
      </c>
      <c r="F85" s="22">
        <f>IF(AND(A84="",A86=""),"",IF(A85="",ROUND(SUM($F$29:F84),2),IF(A85=$D$8,$E$28-ROUND(SUM($F$29:F84),2),ROUND($E$28/$D$8,2))))</f>
        <v>8333.33</v>
      </c>
      <c r="G85" s="22">
        <f ca="1">IF(A84=$D$8,ROUND(SUM($G$29:G84),2),IF(A85&gt;$F$8,"",IF(U85&lt;&gt;U84,ROUND(SUM(W85*$F$9*E84/U85,X85*$F$9*E84/U84),2),ROUND(E84*$F$9*D85/U84,2))))</f>
        <v>849.04</v>
      </c>
      <c r="H85" s="22">
        <f ca="1">IF(A84=$D$8,SUM($H$29:H84),IF(A84&gt;$D$8,"",F85+G85))</f>
        <v>9182.369999999999</v>
      </c>
      <c r="I85" s="22" t="str">
        <f t="shared" si="21"/>
        <v/>
      </c>
      <c r="J85" s="22" t="str">
        <f t="shared" si="22"/>
        <v/>
      </c>
      <c r="K85" s="22" t="str">
        <f t="shared" si="23"/>
        <v/>
      </c>
      <c r="L85" s="22" t="str">
        <f t="shared" si="24"/>
        <v/>
      </c>
      <c r="M85" s="22" t="str">
        <f t="shared" si="31"/>
        <v/>
      </c>
      <c r="N85" s="22" t="str">
        <f t="shared" si="26"/>
        <v/>
      </c>
      <c r="O85" s="22" t="str">
        <f t="shared" si="30"/>
        <v/>
      </c>
      <c r="P85" s="22"/>
      <c r="Q85" s="68" t="str">
        <f>IF(A84=$D$8,XIRR(S$28:S84,C$28:C84),"")</f>
        <v/>
      </c>
      <c r="R85" s="22" t="str">
        <f t="shared" si="4"/>
        <v/>
      </c>
      <c r="S85" s="22">
        <f t="shared" ca="1" si="6"/>
        <v>9182.369999999999</v>
      </c>
      <c r="T85" s="15">
        <f t="shared" ca="1" si="7"/>
        <v>2025</v>
      </c>
      <c r="U85" s="15">
        <f t="shared" ca="1" si="8"/>
        <v>365</v>
      </c>
      <c r="V85" s="15">
        <f t="shared" ca="1" si="9"/>
        <v>1</v>
      </c>
      <c r="W85" s="16">
        <f t="shared" ca="1" si="10"/>
        <v>0</v>
      </c>
      <c r="X85" s="17">
        <f t="shared" ca="1" si="11"/>
        <v>31</v>
      </c>
      <c r="Y85" s="15"/>
    </row>
    <row r="86" spans="1:25" x14ac:dyDescent="0.35">
      <c r="A86" s="25">
        <f t="shared" si="12"/>
        <v>58</v>
      </c>
      <c r="B86" s="21">
        <f ca="1">EDATE($B$28,58)</f>
        <v>45992</v>
      </c>
      <c r="C86" s="21">
        <f t="shared" ca="1" si="5"/>
        <v>45992</v>
      </c>
      <c r="D86" s="25">
        <f t="shared" ca="1" si="28"/>
        <v>30</v>
      </c>
      <c r="E86" s="22">
        <f t="shared" si="29"/>
        <v>16666.856666666426</v>
      </c>
      <c r="F86" s="22">
        <f>IF(AND(A85="",A87=""),"",IF(A86="",ROUND(SUM($F$29:F85),2),IF(A86=$D$8,$E$28-ROUND(SUM($F$29:F85),2),ROUND($E$28/$D$8,2))))</f>
        <v>8333.33</v>
      </c>
      <c r="G86" s="22">
        <f ca="1">IF(A85=$D$8,ROUND(SUM($G$29:G85),2),IF(A86&gt;$F$8,"",IF(U86&lt;&gt;U85,ROUND(SUM(W86*$F$9*E85/U86,X86*$F$9*E85/U85),2),ROUND(E85*$F$9*D86/U85,2))))</f>
        <v>616.24</v>
      </c>
      <c r="H86" s="22">
        <f ca="1">IF(A85=$D$8,SUM($H$29:H85),IF(A85&gt;$D$8,"",F86+G86))</f>
        <v>8949.57</v>
      </c>
      <c r="I86" s="22" t="str">
        <f t="shared" si="21"/>
        <v/>
      </c>
      <c r="J86" s="22" t="str">
        <f t="shared" si="22"/>
        <v/>
      </c>
      <c r="K86" s="22" t="str">
        <f t="shared" si="23"/>
        <v/>
      </c>
      <c r="L86" s="22" t="str">
        <f t="shared" si="24"/>
        <v/>
      </c>
      <c r="M86" s="22" t="str">
        <f t="shared" si="31"/>
        <v/>
      </c>
      <c r="N86" s="22" t="str">
        <f t="shared" si="26"/>
        <v/>
      </c>
      <c r="O86" s="22" t="str">
        <f t="shared" si="30"/>
        <v/>
      </c>
      <c r="P86" s="22"/>
      <c r="Q86" s="68" t="str">
        <f>IF(A85=$D$8,XIRR(S$28:S85,C$28:C85),"")</f>
        <v/>
      </c>
      <c r="R86" s="22" t="str">
        <f t="shared" si="4"/>
        <v/>
      </c>
      <c r="S86" s="22">
        <f t="shared" ca="1" si="6"/>
        <v>8949.57</v>
      </c>
      <c r="T86" s="15">
        <f t="shared" ca="1" si="7"/>
        <v>2025</v>
      </c>
      <c r="U86" s="15">
        <f t="shared" ca="1" si="8"/>
        <v>365</v>
      </c>
      <c r="V86" s="15">
        <f t="shared" ca="1" si="9"/>
        <v>1</v>
      </c>
      <c r="W86" s="16">
        <f t="shared" ca="1" si="10"/>
        <v>0</v>
      </c>
      <c r="X86" s="17">
        <f t="shared" ca="1" si="11"/>
        <v>30</v>
      </c>
      <c r="Y86" s="15"/>
    </row>
    <row r="87" spans="1:25" x14ac:dyDescent="0.35">
      <c r="A87" s="25">
        <f t="shared" si="12"/>
        <v>59</v>
      </c>
      <c r="B87" s="21">
        <f ca="1">EDATE($B$28,59)</f>
        <v>46023</v>
      </c>
      <c r="C87" s="21">
        <f t="shared" ca="1" si="5"/>
        <v>46023</v>
      </c>
      <c r="D87" s="25">
        <f t="shared" ca="1" si="28"/>
        <v>31</v>
      </c>
      <c r="E87" s="22">
        <f t="shared" si="29"/>
        <v>8333.5266666664265</v>
      </c>
      <c r="F87" s="22">
        <f>IF(AND(A86="",A88=""),"",IF(A87="",ROUND(SUM($F$29:F86),2),IF(A87=$D$8,$E$28-ROUND(SUM($F$29:F86),2),ROUND($E$28/$D$8,2))))</f>
        <v>8333.33</v>
      </c>
      <c r="G87" s="22">
        <f ca="1">IF(A86=$D$8,ROUND(SUM($G$29:G86),2),IF(A87&gt;$F$8,"",IF(U87&lt;&gt;U86,ROUND(SUM(W87*$F$9*E86/U87,X87*$F$9*E86/U86),2),ROUND(E86*$F$9*D87/U86,2))))</f>
        <v>424.52</v>
      </c>
      <c r="H87" s="22">
        <f ca="1">IF(A86=$D$8,SUM($H$29:H86),IF(A86&gt;$D$8,"",F87+G87))</f>
        <v>8757.85</v>
      </c>
      <c r="I87" s="22" t="str">
        <f t="shared" si="21"/>
        <v/>
      </c>
      <c r="J87" s="22" t="str">
        <f t="shared" si="22"/>
        <v/>
      </c>
      <c r="K87" s="22" t="str">
        <f t="shared" si="23"/>
        <v/>
      </c>
      <c r="L87" s="22" t="str">
        <f t="shared" si="24"/>
        <v/>
      </c>
      <c r="M87" s="22" t="str">
        <f t="shared" si="31"/>
        <v/>
      </c>
      <c r="N87" s="22" t="str">
        <f t="shared" si="26"/>
        <v/>
      </c>
      <c r="O87" s="22" t="str">
        <f t="shared" si="30"/>
        <v/>
      </c>
      <c r="P87" s="22"/>
      <c r="Q87" s="68" t="str">
        <f>IF(A86=$D$8,XIRR(S$28:S86,C$28:C86),"")</f>
        <v/>
      </c>
      <c r="R87" s="22" t="str">
        <f t="shared" si="4"/>
        <v/>
      </c>
      <c r="S87" s="22">
        <f t="shared" ca="1" si="6"/>
        <v>8757.85</v>
      </c>
      <c r="T87" s="15">
        <f t="shared" ca="1" si="7"/>
        <v>2026</v>
      </c>
      <c r="U87" s="15">
        <f t="shared" ca="1" si="8"/>
        <v>365</v>
      </c>
      <c r="V87" s="15">
        <f t="shared" ca="1" si="9"/>
        <v>1</v>
      </c>
      <c r="W87" s="16">
        <f t="shared" ca="1" si="10"/>
        <v>0</v>
      </c>
      <c r="X87" s="17">
        <f t="shared" ca="1" si="11"/>
        <v>31</v>
      </c>
      <c r="Y87" s="15"/>
    </row>
    <row r="88" spans="1:25" x14ac:dyDescent="0.35">
      <c r="A88" s="25">
        <f t="shared" si="12"/>
        <v>60</v>
      </c>
      <c r="B88" s="21">
        <f ca="1">EDATE($B$28,60)</f>
        <v>46054</v>
      </c>
      <c r="C88" s="21">
        <f t="shared" ca="1" si="5"/>
        <v>46053</v>
      </c>
      <c r="D88" s="25">
        <f t="shared" ca="1" si="28"/>
        <v>30</v>
      </c>
      <c r="E88" s="22">
        <f t="shared" si="29"/>
        <v>-3.333333601403865E-3</v>
      </c>
      <c r="F88" s="22">
        <f>IF(AND(A87="",A89=""),"",IF(A88="",ROUND(SUM($F$29:F87),2),IF(A88=$D$8,$E$28-ROUND(SUM($F$29:F87),2),ROUND($E$28/$D$8,2))))</f>
        <v>8333.5300000000279</v>
      </c>
      <c r="G88" s="22">
        <f ca="1">IF(A87=$D$8,ROUND(SUM($G$29:G87),2),IF(A88&gt;$F$8,"",IF(U88&lt;&gt;U87,ROUND(SUM(W88*$F$9*E87/U88,X88*$F$9*E87/U87),2),ROUND(E87*$F$9*D88/U87,2))))</f>
        <v>205.42</v>
      </c>
      <c r="H88" s="22">
        <f ca="1">IF(A87=$D$8,SUM($H$29:H87),IF(A87&gt;$D$8,"",F88+G88))</f>
        <v>8538.950000000028</v>
      </c>
      <c r="I88" s="22" t="str">
        <f t="shared" si="21"/>
        <v/>
      </c>
      <c r="J88" s="22" t="str">
        <f t="shared" si="22"/>
        <v/>
      </c>
      <c r="K88" s="22" t="str">
        <f t="shared" si="23"/>
        <v/>
      </c>
      <c r="L88" s="22" t="str">
        <f t="shared" si="24"/>
        <v/>
      </c>
      <c r="M88" s="22" t="str">
        <f t="shared" si="31"/>
        <v/>
      </c>
      <c r="N88" s="22" t="str">
        <f t="shared" si="26"/>
        <v/>
      </c>
      <c r="O88" s="22" t="str">
        <f t="shared" si="30"/>
        <v/>
      </c>
      <c r="P88" s="22"/>
      <c r="Q88" s="68" t="str">
        <f>IF(A87=$D$8,XIRR(S$28:S87,C$28:C87),"")</f>
        <v/>
      </c>
      <c r="R88" s="22" t="str">
        <f t="shared" si="4"/>
        <v/>
      </c>
      <c r="S88" s="22">
        <f t="shared" ca="1" si="6"/>
        <v>8538.950000000028</v>
      </c>
      <c r="T88" s="15">
        <f t="shared" ca="1" si="7"/>
        <v>2026</v>
      </c>
      <c r="U88" s="15">
        <f t="shared" ca="1" si="8"/>
        <v>365</v>
      </c>
      <c r="V88" s="15">
        <f t="shared" ca="1" si="9"/>
        <v>31</v>
      </c>
      <c r="W88" s="16">
        <f t="shared" ca="1" si="10"/>
        <v>30</v>
      </c>
      <c r="X88" s="17">
        <f t="shared" ca="1" si="11"/>
        <v>0</v>
      </c>
      <c r="Y88" s="15"/>
    </row>
    <row r="89" spans="1:25" x14ac:dyDescent="0.35">
      <c r="A89" s="25" t="str">
        <f t="shared" si="12"/>
        <v/>
      </c>
      <c r="B89" s="21">
        <f ca="1">EDATE($B$28,61)</f>
        <v>46082</v>
      </c>
      <c r="C89" s="21" t="str">
        <f t="shared" ca="1" si="5"/>
        <v xml:space="preserve"> </v>
      </c>
      <c r="D89" s="25" t="str">
        <f t="shared" si="28"/>
        <v/>
      </c>
      <c r="E89" s="22" t="str">
        <f t="shared" si="29"/>
        <v/>
      </c>
      <c r="F89" s="22">
        <f>IF(AND(A88="",A90=""),"",IF(A89="",ROUND(SUM($F$29:F88),2),IF(A89=$D$8,$E$28-ROUND(SUM($F$29:F88),2),ROUND($E$28/$D$8,2))))</f>
        <v>500000</v>
      </c>
      <c r="G89" s="22">
        <f ca="1">IF(A88=$D$8,SUM($G$29:G88),IF(A89&gt;$F$8,"",IF(U89&lt;&gt;U88,SUM(W89*$F$24*E88/U89,X89*$F$24*E88/U88),E88*$F$24*D89/U88)))</f>
        <v>344642.18999999994</v>
      </c>
      <c r="H89" s="22">
        <f ca="1">IF(A88=$D$8,SUM($H$29:H88),IF(A88&gt;$D$8,"",F89+G89))</f>
        <v>844642.19333333336</v>
      </c>
      <c r="I89" s="22">
        <f t="shared" si="21"/>
        <v>0</v>
      </c>
      <c r="J89" s="22">
        <f t="shared" si="22"/>
        <v>0</v>
      </c>
      <c r="K89" s="22">
        <f t="shared" si="23"/>
        <v>29950</v>
      </c>
      <c r="L89" s="22">
        <f t="shared" si="24"/>
        <v>0</v>
      </c>
      <c r="M89" s="22">
        <f t="shared" si="31"/>
        <v>5000</v>
      </c>
      <c r="N89" s="22">
        <f t="shared" si="26"/>
        <v>0</v>
      </c>
      <c r="O89" s="213">
        <f>IF($F$8&gt;60,($P$17),IF($A$88=$F$8,O77+O65+O53+O41+O28,""))</f>
        <v>10905</v>
      </c>
      <c r="P89" s="22"/>
      <c r="Q89" s="68">
        <f ca="1">IF(A88=$D$8,XIRR(S$28:S88,C$28:C88),"")</f>
        <v>0.35644267201423652</v>
      </c>
      <c r="R89" s="22">
        <f ca="1">IF(A88=$D$8,G89+$M$28+$P$28+F89+$I$28+$J$28+$K$28+$L$28+$N$28+$P$18,"")</f>
        <v>890497.19</v>
      </c>
      <c r="S89" s="22"/>
      <c r="T89" s="15" t="e">
        <f t="shared" ca="1" si="7"/>
        <v>#VALUE!</v>
      </c>
      <c r="U89" s="15" t="e">
        <f t="shared" ca="1" si="8"/>
        <v>#VALUE!</v>
      </c>
      <c r="V89" s="15" t="e">
        <f t="shared" ca="1" si="9"/>
        <v>#VALUE!</v>
      </c>
      <c r="W89" s="16" t="e">
        <f t="shared" ca="1" si="10"/>
        <v>#VALUE!</v>
      </c>
      <c r="X89" s="17" t="e">
        <f t="shared" ca="1" si="11"/>
        <v>#VALUE!</v>
      </c>
      <c r="Y89" s="15"/>
    </row>
    <row r="90" spans="1:25" x14ac:dyDescent="0.35">
      <c r="A90" s="25" t="str">
        <f t="shared" si="12"/>
        <v/>
      </c>
      <c r="B90" s="21">
        <f ca="1">EDATE($B$28,62)</f>
        <v>46113</v>
      </c>
      <c r="C90" s="21" t="str">
        <f t="shared" ca="1" si="5"/>
        <v xml:space="preserve"> </v>
      </c>
      <c r="D90" s="25" t="str">
        <f t="shared" si="28"/>
        <v/>
      </c>
      <c r="E90" s="22" t="str">
        <f t="shared" si="29"/>
        <v/>
      </c>
      <c r="F90" s="22" t="str">
        <f>IF(AND(A89="",A91=""),"",IF(A90="",ROUND(SUM($F$29:F89),2),IF(A90=$D$8,$E$28-ROUND(SUM($F$29:F89),2),ROUND($E$28/$D$8,2))))</f>
        <v/>
      </c>
      <c r="G90" s="22" t="str">
        <f>IF(A89=$D$8,SUM($G$29:G89),IF(A90&gt;$F$8,"",IF(U90&lt;&gt;U89,SUM(W90*$F$24*E89/U90,X90*$F$24*E89/U89),E89*$F$24*D90/U89)))</f>
        <v/>
      </c>
      <c r="H90" s="22" t="str">
        <f>IF(A89=$D$8,SUM($H$29:H89),IF(A89&gt;$D$8,"",F90+G90))</f>
        <v/>
      </c>
      <c r="I90" s="22"/>
      <c r="J90" s="22"/>
      <c r="K90" s="22"/>
      <c r="L90" s="22"/>
      <c r="M90" s="22" t="str">
        <f t="shared" si="31"/>
        <v/>
      </c>
      <c r="N90" s="22"/>
      <c r="O90" s="22"/>
      <c r="P90" s="22"/>
      <c r="Q90" s="68" t="str">
        <f>IF(A89=$D$8,XIRR(H$28:H89,C$28:C89),"")</f>
        <v/>
      </c>
      <c r="R90" s="22" t="str">
        <f t="shared" ref="R90:R93" si="32">IF(A89=$D$8,G90+M90+F90,"")</f>
        <v/>
      </c>
      <c r="S90" s="22"/>
      <c r="T90" s="15" t="e">
        <f t="shared" ca="1" si="7"/>
        <v>#VALUE!</v>
      </c>
      <c r="U90" s="15" t="e">
        <f t="shared" ca="1" si="8"/>
        <v>#VALUE!</v>
      </c>
      <c r="V90" s="15" t="e">
        <f t="shared" ca="1" si="9"/>
        <v>#VALUE!</v>
      </c>
      <c r="W90" s="16" t="e">
        <f t="shared" ca="1" si="10"/>
        <v>#VALUE!</v>
      </c>
      <c r="X90" s="17" t="e">
        <f t="shared" ca="1" si="11"/>
        <v>#VALUE!</v>
      </c>
      <c r="Y90" s="15"/>
    </row>
    <row r="91" spans="1:25" x14ac:dyDescent="0.35">
      <c r="A91" s="25" t="str">
        <f t="shared" si="12"/>
        <v/>
      </c>
      <c r="B91" s="21">
        <f ca="1">EDATE($B$28,63)</f>
        <v>46143</v>
      </c>
      <c r="C91" s="21" t="str">
        <f t="shared" ca="1" si="5"/>
        <v xml:space="preserve"> </v>
      </c>
      <c r="D91" s="25" t="str">
        <f t="shared" si="28"/>
        <v/>
      </c>
      <c r="E91" s="22" t="str">
        <f t="shared" si="29"/>
        <v/>
      </c>
      <c r="F91" s="22" t="str">
        <f>IF(AND(A90="",A92=""),"",IF(A91="",ROUND(SUM($F$29:F90),2),IF(A91=$D$8,$E$28-ROUND(SUM($F$29:F90),2),ROUND($E$28/$D$8,2))))</f>
        <v/>
      </c>
      <c r="G91" s="22" t="str">
        <f>IF(A90=$D$8,SUM($G$29:G90),IF(A91&gt;$F$8,"",IF(U91&lt;&gt;U90,SUM(W91*$F$24*E90/U91,X91*$F$24*E90/U90),E90*$F$24*D91/U90)))</f>
        <v/>
      </c>
      <c r="H91" s="22" t="str">
        <f>IF(A90=$D$8,SUM($H$29:H90),IF(A90&gt;$D$8,"",F91+G91))</f>
        <v/>
      </c>
      <c r="I91" s="22"/>
      <c r="J91" s="22"/>
      <c r="K91" s="22"/>
      <c r="L91" s="22"/>
      <c r="M91" s="22" t="str">
        <f t="shared" si="31"/>
        <v/>
      </c>
      <c r="N91" s="22"/>
      <c r="O91" s="22"/>
      <c r="P91" s="22"/>
      <c r="Q91" s="68" t="str">
        <f>IF(A90=$D$8,XIRR(H$28:H90,C$28:C90),"")</f>
        <v/>
      </c>
      <c r="R91" s="22" t="str">
        <f t="shared" si="32"/>
        <v/>
      </c>
      <c r="S91" s="22"/>
      <c r="T91" s="15" t="e">
        <f t="shared" ca="1" si="7"/>
        <v>#VALUE!</v>
      </c>
      <c r="U91" s="15" t="e">
        <f t="shared" ca="1" si="8"/>
        <v>#VALUE!</v>
      </c>
      <c r="V91" s="15" t="e">
        <f t="shared" ca="1" si="9"/>
        <v>#VALUE!</v>
      </c>
      <c r="W91" s="16" t="e">
        <f t="shared" ca="1" si="10"/>
        <v>#VALUE!</v>
      </c>
      <c r="X91" s="17" t="e">
        <f t="shared" ca="1" si="11"/>
        <v>#VALUE!</v>
      </c>
      <c r="Y91" s="15"/>
    </row>
    <row r="92" spans="1:25" x14ac:dyDescent="0.35">
      <c r="A92" s="25" t="str">
        <f t="shared" si="12"/>
        <v/>
      </c>
      <c r="B92" s="21">
        <f ca="1">EDATE($B$28,64)</f>
        <v>46174</v>
      </c>
      <c r="C92" s="21" t="str">
        <f t="shared" ca="1" si="5"/>
        <v xml:space="preserve"> </v>
      </c>
      <c r="D92" s="25" t="str">
        <f t="shared" si="28"/>
        <v/>
      </c>
      <c r="E92" s="22" t="str">
        <f t="shared" si="29"/>
        <v/>
      </c>
      <c r="F92" s="22" t="str">
        <f>IF(AND(A91="",A93=""),"",IF(A92="",ROUND(SUM($F$29:F91),2),IF(A92=$D$8,$E$28-ROUND(SUM($F$29:F91),2),ROUND($E$28/$D$8,2))))</f>
        <v/>
      </c>
      <c r="G92" s="22" t="str">
        <f>IF(A91=$D$8,SUM($G$29:G91),IF(A92&gt;$F$8,"",IF(U92&lt;&gt;U91,SUM(W92*$F$24*E91/U92,X92*$F$24*E91/U91),E91*$F$24*D92/U91)))</f>
        <v/>
      </c>
      <c r="H92" s="22" t="str">
        <f>IF(A91=$D$8,SUM($H$29:H91),IF(A91&gt;$D$8,"",F92+G92))</f>
        <v/>
      </c>
      <c r="I92" s="22"/>
      <c r="J92" s="22"/>
      <c r="K92" s="22"/>
      <c r="L92" s="22"/>
      <c r="M92" s="22" t="str">
        <f t="shared" si="31"/>
        <v/>
      </c>
      <c r="N92" s="22"/>
      <c r="O92" s="22"/>
      <c r="P92" s="22"/>
      <c r="Q92" s="68" t="str">
        <f>IF(A91=$D$8,XIRR(H$28:H91,C$28:C91),"")</f>
        <v/>
      </c>
      <c r="R92" s="22" t="str">
        <f t="shared" si="32"/>
        <v/>
      </c>
      <c r="S92" s="22"/>
      <c r="T92" s="15" t="e">
        <f t="shared" ca="1" si="7"/>
        <v>#VALUE!</v>
      </c>
      <c r="U92" s="15" t="e">
        <f t="shared" ca="1" si="8"/>
        <v>#VALUE!</v>
      </c>
      <c r="V92" s="15" t="e">
        <f t="shared" ca="1" si="9"/>
        <v>#VALUE!</v>
      </c>
      <c r="W92" s="16" t="e">
        <f t="shared" ca="1" si="10"/>
        <v>#VALUE!</v>
      </c>
      <c r="X92" s="17" t="e">
        <f t="shared" ca="1" si="11"/>
        <v>#VALUE!</v>
      </c>
      <c r="Y92" s="15"/>
    </row>
    <row r="93" spans="1:25" x14ac:dyDescent="0.35">
      <c r="A93" s="25" t="str">
        <f t="shared" si="12"/>
        <v/>
      </c>
      <c r="B93" s="21">
        <f ca="1">EDATE($B$28,65)</f>
        <v>46204</v>
      </c>
      <c r="C93" s="21" t="str">
        <f t="shared" ca="1" si="5"/>
        <v xml:space="preserve"> </v>
      </c>
      <c r="D93" s="25" t="str">
        <f t="shared" si="28"/>
        <v/>
      </c>
      <c r="E93" s="22" t="str">
        <f t="shared" si="29"/>
        <v/>
      </c>
      <c r="F93" s="22" t="str">
        <f>IF(AND(A92="",A94=""),"",IF(A93="",ROUND(SUM($F$29:F92),2),IF(A93=$D$8,$E$28-ROUND(SUM($F$29:F92),2),ROUND($E$28/$D$8,2))))</f>
        <v/>
      </c>
      <c r="G93" s="22" t="str">
        <f>IF(A92=$D$8,SUM($G$29:G92),IF(A93&gt;$F$8,"",IF(U93&lt;&gt;U92,SUM(W93*$F$24*E92/U93,X93*$F$24*E92/U92),E92*$F$24*D93/U92)))</f>
        <v/>
      </c>
      <c r="H93" s="22" t="str">
        <f>IF(A92=$D$8,SUM($H$29:H92),IF(A92&gt;$D$8,"",F93+G93))</f>
        <v/>
      </c>
      <c r="I93" s="22"/>
      <c r="J93" s="22"/>
      <c r="K93" s="22"/>
      <c r="L93" s="22"/>
      <c r="M93" s="22" t="str">
        <f t="shared" si="31"/>
        <v/>
      </c>
      <c r="N93" s="22"/>
      <c r="O93" s="22"/>
      <c r="P93" s="22"/>
      <c r="Q93" s="68" t="str">
        <f>IF(A92=$D$8,XIRR(H$28:H92,C$28:C92),"")</f>
        <v/>
      </c>
      <c r="R93" s="22" t="str">
        <f t="shared" si="32"/>
        <v/>
      </c>
      <c r="S93" s="22"/>
      <c r="T93" s="15" t="e">
        <f t="shared" ca="1" si="7"/>
        <v>#VALUE!</v>
      </c>
      <c r="U93" s="15" t="e">
        <f t="shared" ca="1" si="8"/>
        <v>#VALUE!</v>
      </c>
      <c r="V93" s="15" t="e">
        <f t="shared" ca="1" si="9"/>
        <v>#VALUE!</v>
      </c>
      <c r="W93" s="16" t="e">
        <f t="shared" ca="1" si="10"/>
        <v>#VALUE!</v>
      </c>
      <c r="X93" s="17" t="e">
        <f t="shared" ca="1" si="11"/>
        <v>#VALUE!</v>
      </c>
      <c r="Y93" s="15"/>
    </row>
    <row r="94" spans="1:25" x14ac:dyDescent="0.35">
      <c r="A94" s="25" t="str">
        <f t="shared" si="12"/>
        <v/>
      </c>
      <c r="B94" s="21">
        <f ca="1">EDATE($B$28,66)</f>
        <v>46235</v>
      </c>
      <c r="C94" s="21" t="str">
        <f t="shared" ref="C94:C111" ca="1" si="33">IF(B94=$D$19,B94-1,(IF(B94&gt;$D$19," ",B94)))</f>
        <v xml:space="preserve"> </v>
      </c>
      <c r="D94" s="25" t="str">
        <f t="shared" si="28"/>
        <v/>
      </c>
      <c r="E94" s="22" t="str">
        <f t="shared" si="29"/>
        <v/>
      </c>
      <c r="F94" s="22" t="str">
        <f>IF(AND(A93="",A95=""),"",IF(A94="",ROUND(SUM($F$29:F93),2),IF(A94=$D$8,$E$28-ROUND(SUM($F$29:F93),2),ROUND($E$28/$D$8,2))))</f>
        <v/>
      </c>
      <c r="G94" s="22" t="str">
        <f>IF(A93=$D$8,SUM($G$29:G93),IF(A94&gt;$F$8,"",IF(U94&lt;&gt;U93,SUM(W94*$F$24*E93/U94,X94*$F$24*E93/U93),E93*$F$24*D94/U93)))</f>
        <v/>
      </c>
      <c r="H94" s="22" t="str">
        <f>IF(A93=$D$8,SUM($H$29:H93),IF(A93&gt;$D$8,"",F94+G94))</f>
        <v/>
      </c>
      <c r="I94" s="22"/>
      <c r="J94" s="22"/>
      <c r="K94" s="22"/>
      <c r="L94" s="22"/>
      <c r="M94" s="22" t="str">
        <f t="shared" si="31"/>
        <v/>
      </c>
      <c r="N94" s="22"/>
      <c r="O94" s="22"/>
      <c r="P94" s="22"/>
      <c r="Q94" s="68" t="str">
        <f>IF(A93=$D$8,XIRR(H$28:H93,C$28:C93),"")</f>
        <v/>
      </c>
      <c r="R94" s="22" t="str">
        <f t="shared" ref="R94:R112" si="34">IF(A93=$D$8,G94+M94+F94,"")</f>
        <v/>
      </c>
      <c r="S94" s="22"/>
      <c r="T94" s="15" t="e">
        <f t="shared" ref="T94:T112" ca="1" si="35">IF(C94="","",YEAR(C94))</f>
        <v>#VALUE!</v>
      </c>
      <c r="U94" s="15" t="e">
        <f t="shared" ref="U94:U112" ca="1" si="36">IF(OR(T94=2024,T94=2028,T94=2016,T94=2020),366,365)</f>
        <v>#VALUE!</v>
      </c>
      <c r="V94" s="15" t="e">
        <f t="shared" ref="V94:V112" ca="1" si="37">IF(C94="","",DAY(C94))</f>
        <v>#VALUE!</v>
      </c>
      <c r="W94" s="16" t="e">
        <f t="shared" ref="W94:W112" ca="1" si="38">V94-1</f>
        <v>#VALUE!</v>
      </c>
      <c r="X94" s="17" t="e">
        <f t="shared" ref="X94:X112" ca="1" si="39">D94-W94</f>
        <v>#VALUE!</v>
      </c>
      <c r="Y94" s="15"/>
    </row>
    <row r="95" spans="1:25" x14ac:dyDescent="0.35">
      <c r="A95" s="25" t="str">
        <f t="shared" ref="A95:A113" si="40">IF(A94&lt;$D$8,A94+1,"")</f>
        <v/>
      </c>
      <c r="B95" s="21">
        <f ca="1">EDATE($B$28,67)</f>
        <v>46266</v>
      </c>
      <c r="C95" s="21" t="str">
        <f t="shared" ca="1" si="33"/>
        <v xml:space="preserve"> </v>
      </c>
      <c r="D95" s="25" t="str">
        <f t="shared" si="28"/>
        <v/>
      </c>
      <c r="E95" s="22" t="str">
        <f t="shared" si="29"/>
        <v/>
      </c>
      <c r="F95" s="22" t="str">
        <f>IF(AND(A94="",A96=""),"",IF(A95="",ROUND(SUM($F$29:F94),2),IF(A95=$D$8,$E$28-ROUND(SUM($F$29:F94),2),ROUND($E$28/$D$8,2))))</f>
        <v/>
      </c>
      <c r="G95" s="22" t="str">
        <f>IF(A94=$D$8,SUM($G$29:G94),IF(A95&gt;$F$8,"",IF(U95&lt;&gt;U94,SUM(W95*$F$24*E94/U95,X95*$F$24*E94/U94),E94*$F$24*D95/U94)))</f>
        <v/>
      </c>
      <c r="H95" s="22" t="str">
        <f>IF(A94=$D$8,SUM($H$29:H94),IF(A94&gt;$D$8,"",F95+G95))</f>
        <v/>
      </c>
      <c r="I95" s="22"/>
      <c r="J95" s="22"/>
      <c r="K95" s="22"/>
      <c r="L95" s="22"/>
      <c r="M95" s="22" t="str">
        <f t="shared" si="31"/>
        <v/>
      </c>
      <c r="N95" s="22"/>
      <c r="O95" s="22"/>
      <c r="P95" s="22"/>
      <c r="Q95" s="68" t="str">
        <f>IF(A94=$D$8,XIRR(H$28:H94,C$28:C94),"")</f>
        <v/>
      </c>
      <c r="R95" s="22" t="str">
        <f t="shared" si="34"/>
        <v/>
      </c>
      <c r="S95" s="22"/>
      <c r="T95" s="15" t="e">
        <f t="shared" ca="1" si="35"/>
        <v>#VALUE!</v>
      </c>
      <c r="U95" s="15" t="e">
        <f t="shared" ca="1" si="36"/>
        <v>#VALUE!</v>
      </c>
      <c r="V95" s="15" t="e">
        <f t="shared" ca="1" si="37"/>
        <v>#VALUE!</v>
      </c>
      <c r="W95" s="16" t="e">
        <f t="shared" ca="1" si="38"/>
        <v>#VALUE!</v>
      </c>
      <c r="X95" s="17" t="e">
        <f t="shared" ca="1" si="39"/>
        <v>#VALUE!</v>
      </c>
      <c r="Y95" s="15"/>
    </row>
    <row r="96" spans="1:25" x14ac:dyDescent="0.35">
      <c r="A96" s="25" t="str">
        <f t="shared" si="40"/>
        <v/>
      </c>
      <c r="B96" s="21">
        <f ca="1">EDATE($B$28,68)</f>
        <v>46296</v>
      </c>
      <c r="C96" s="21" t="str">
        <f t="shared" ca="1" si="33"/>
        <v xml:space="preserve"> </v>
      </c>
      <c r="D96" s="25" t="str">
        <f t="shared" si="28"/>
        <v/>
      </c>
      <c r="E96" s="22" t="str">
        <f t="shared" si="29"/>
        <v/>
      </c>
      <c r="F96" s="22" t="str">
        <f>IF(AND(A95="",A97=""),"",IF(A96="",ROUND(SUM($F$29:F95),2),IF(A96=$D$8,$E$28-ROUND(SUM($F$29:F95),2),ROUND($E$28/$D$8,2))))</f>
        <v/>
      </c>
      <c r="G96" s="22" t="str">
        <f>IF(A95=$D$8,SUM($G$29:G95),IF(A96&gt;$F$8,"",IF(U96&lt;&gt;U95,SUM(W96*$F$24*E95/U96,X96*$F$24*E95/U95),E95*$F$24*D96/U95)))</f>
        <v/>
      </c>
      <c r="H96" s="22" t="str">
        <f>IF(A95=$D$8,SUM($H$29:H95),IF(A95&gt;$D$8,"",F96+G96))</f>
        <v/>
      </c>
      <c r="I96" s="22"/>
      <c r="J96" s="22"/>
      <c r="K96" s="22"/>
      <c r="L96" s="22"/>
      <c r="M96" s="22" t="str">
        <f t="shared" si="31"/>
        <v/>
      </c>
      <c r="N96" s="22"/>
      <c r="O96" s="22"/>
      <c r="P96" s="22"/>
      <c r="Q96" s="68" t="str">
        <f>IF(A95=$D$8,XIRR(H$28:H95,C$28:C95),"")</f>
        <v/>
      </c>
      <c r="R96" s="22" t="str">
        <f t="shared" si="34"/>
        <v/>
      </c>
      <c r="S96" s="22"/>
      <c r="T96" s="15" t="e">
        <f t="shared" ca="1" si="35"/>
        <v>#VALUE!</v>
      </c>
      <c r="U96" s="15" t="e">
        <f t="shared" ca="1" si="36"/>
        <v>#VALUE!</v>
      </c>
      <c r="V96" s="15" t="e">
        <f t="shared" ca="1" si="37"/>
        <v>#VALUE!</v>
      </c>
      <c r="W96" s="16" t="e">
        <f t="shared" ca="1" si="38"/>
        <v>#VALUE!</v>
      </c>
      <c r="X96" s="17" t="e">
        <f t="shared" ca="1" si="39"/>
        <v>#VALUE!</v>
      </c>
      <c r="Y96" s="15"/>
    </row>
    <row r="97" spans="1:28" x14ac:dyDescent="0.35">
      <c r="A97" s="25" t="str">
        <f t="shared" si="40"/>
        <v/>
      </c>
      <c r="B97" s="21">
        <f ca="1">EDATE($B$28,69)</f>
        <v>46327</v>
      </c>
      <c r="C97" s="21" t="str">
        <f t="shared" ca="1" si="33"/>
        <v xml:space="preserve"> </v>
      </c>
      <c r="D97" s="25" t="str">
        <f t="shared" si="28"/>
        <v/>
      </c>
      <c r="E97" s="22" t="str">
        <f t="shared" si="29"/>
        <v/>
      </c>
      <c r="F97" s="22" t="str">
        <f>IF(AND(A96="",A98=""),"",IF(A97="",ROUND(SUM($F$29:F96),2),IF(A97=$D$8,$E$28-ROUND(SUM($F$29:F96),2),ROUND($E$28/$D$8,2))))</f>
        <v/>
      </c>
      <c r="G97" s="22" t="str">
        <f>IF(A96=$D$8,SUM($G$29:G96),IF(A97&gt;$F$8,"",IF(U97&lt;&gt;U96,SUM(W97*$F$24*E96/U97,X97*$F$24*E96/U96),E96*$F$24*D97/U96)))</f>
        <v/>
      </c>
      <c r="H97" s="22" t="str">
        <f>IF(A96=$D$8,SUM($H$29:H96),IF(A96&gt;$D$8,"",F97+G97))</f>
        <v/>
      </c>
      <c r="I97" s="22"/>
      <c r="J97" s="22"/>
      <c r="K97" s="22"/>
      <c r="L97" s="22"/>
      <c r="M97" s="22" t="str">
        <f t="shared" si="31"/>
        <v/>
      </c>
      <c r="N97" s="22"/>
      <c r="O97" s="22"/>
      <c r="P97" s="22"/>
      <c r="Q97" s="68" t="str">
        <f>IF(A96=$D$8,XIRR(H$28:H96,C$28:C96),"")</f>
        <v/>
      </c>
      <c r="R97" s="22" t="str">
        <f t="shared" si="34"/>
        <v/>
      </c>
      <c r="S97" s="22"/>
      <c r="T97" s="15" t="e">
        <f t="shared" ca="1" si="35"/>
        <v>#VALUE!</v>
      </c>
      <c r="U97" s="15" t="e">
        <f t="shared" ca="1" si="36"/>
        <v>#VALUE!</v>
      </c>
      <c r="V97" s="15" t="e">
        <f t="shared" ca="1" si="37"/>
        <v>#VALUE!</v>
      </c>
      <c r="W97" s="16" t="e">
        <f t="shared" ca="1" si="38"/>
        <v>#VALUE!</v>
      </c>
      <c r="X97" s="17" t="e">
        <f t="shared" ca="1" si="39"/>
        <v>#VALUE!</v>
      </c>
      <c r="Y97" s="15"/>
    </row>
    <row r="98" spans="1:28" x14ac:dyDescent="0.35">
      <c r="A98" s="25" t="str">
        <f t="shared" si="40"/>
        <v/>
      </c>
      <c r="B98" s="21">
        <f ca="1">EDATE($B$28,70)</f>
        <v>46357</v>
      </c>
      <c r="C98" s="21" t="str">
        <f t="shared" ca="1" si="33"/>
        <v xml:space="preserve"> </v>
      </c>
      <c r="D98" s="25" t="str">
        <f t="shared" si="28"/>
        <v/>
      </c>
      <c r="E98" s="22" t="str">
        <f t="shared" si="29"/>
        <v/>
      </c>
      <c r="F98" s="22" t="str">
        <f>IF(AND(A97="",A99=""),"",IF(A98="",ROUND(SUM($F$29:F97),2),IF(A98=$D$8,$E$28-ROUND(SUM($F$29:F97),2),ROUND($E$28/$D$8,2))))</f>
        <v/>
      </c>
      <c r="G98" s="22" t="str">
        <f>IF(A97=$D$8,SUM($G$29:G97),IF(A98&gt;$F$8,"",IF(U98&lt;&gt;U97,SUM(W98*$F$24*E97/U98,X98*$F$24*E97/U97),E97*$F$24*D98/U97)))</f>
        <v/>
      </c>
      <c r="H98" s="22" t="str">
        <f>IF(A97=$D$8,SUM($H$29:H97),IF(A97&gt;$D$8,"",F98+G98))</f>
        <v/>
      </c>
      <c r="I98" s="22"/>
      <c r="J98" s="22"/>
      <c r="K98" s="22"/>
      <c r="L98" s="22"/>
      <c r="M98" s="22" t="str">
        <f t="shared" si="31"/>
        <v/>
      </c>
      <c r="N98" s="22"/>
      <c r="O98" s="22"/>
      <c r="P98" s="22"/>
      <c r="Q98" s="68" t="str">
        <f>IF(A97=$D$8,XIRR(H$28:H97,C$28:C97),"")</f>
        <v/>
      </c>
      <c r="R98" s="22" t="str">
        <f t="shared" si="34"/>
        <v/>
      </c>
      <c r="S98" s="22"/>
      <c r="T98" s="15" t="e">
        <f t="shared" ca="1" si="35"/>
        <v>#VALUE!</v>
      </c>
      <c r="U98" s="15" t="e">
        <f t="shared" ca="1" si="36"/>
        <v>#VALUE!</v>
      </c>
      <c r="V98" s="15" t="e">
        <f t="shared" ca="1" si="37"/>
        <v>#VALUE!</v>
      </c>
      <c r="W98" s="16" t="e">
        <f t="shared" ca="1" si="38"/>
        <v>#VALUE!</v>
      </c>
      <c r="X98" s="17" t="e">
        <f t="shared" ca="1" si="39"/>
        <v>#VALUE!</v>
      </c>
      <c r="Y98" s="15"/>
    </row>
    <row r="99" spans="1:28" x14ac:dyDescent="0.35">
      <c r="A99" s="25" t="str">
        <f t="shared" si="40"/>
        <v/>
      </c>
      <c r="B99" s="21">
        <f ca="1">EDATE($B$28,71)</f>
        <v>46388</v>
      </c>
      <c r="C99" s="21" t="str">
        <f t="shared" ca="1" si="33"/>
        <v xml:space="preserve"> </v>
      </c>
      <c r="D99" s="25" t="str">
        <f t="shared" si="28"/>
        <v/>
      </c>
      <c r="E99" s="22" t="str">
        <f t="shared" si="29"/>
        <v/>
      </c>
      <c r="F99" s="22" t="str">
        <f>IF(AND(A98="",A100=""),"",IF(A99="",ROUND(SUM($F$29:F98),2),IF(A99=$D$8,$E$28-ROUND(SUM($F$29:F98),2),ROUND($E$28/$D$8,2))))</f>
        <v/>
      </c>
      <c r="G99" s="22" t="str">
        <f>IF(A98=$D$8,SUM($G$29:G98),IF(A99&gt;$F$8,"",IF(U99&lt;&gt;U98,SUM(W99*$F$24*E98/U99,X99*$F$24*E98/U98),E98*$F$24*D99/U98)))</f>
        <v/>
      </c>
      <c r="H99" s="22" t="str">
        <f>IF(A98=$D$8,SUM($H$29:H98),IF(A98&gt;$D$8,"",F99+G99))</f>
        <v/>
      </c>
      <c r="I99" s="22"/>
      <c r="J99" s="22"/>
      <c r="K99" s="22"/>
      <c r="L99" s="22"/>
      <c r="M99" s="22" t="str">
        <f t="shared" si="31"/>
        <v/>
      </c>
      <c r="N99" s="22"/>
      <c r="O99" s="22"/>
      <c r="P99" s="22"/>
      <c r="Q99" s="68" t="str">
        <f>IF(A98=$D$8,XIRR(H$28:H98,C$28:C98),"")</f>
        <v/>
      </c>
      <c r="R99" s="22" t="str">
        <f t="shared" si="34"/>
        <v/>
      </c>
      <c r="S99" s="22"/>
      <c r="T99" s="15" t="e">
        <f t="shared" ca="1" si="35"/>
        <v>#VALUE!</v>
      </c>
      <c r="U99" s="15" t="e">
        <f t="shared" ca="1" si="36"/>
        <v>#VALUE!</v>
      </c>
      <c r="V99" s="15" t="e">
        <f t="shared" ca="1" si="37"/>
        <v>#VALUE!</v>
      </c>
      <c r="W99" s="16" t="e">
        <f t="shared" ca="1" si="38"/>
        <v>#VALUE!</v>
      </c>
      <c r="X99" s="17" t="e">
        <f t="shared" ca="1" si="39"/>
        <v>#VALUE!</v>
      </c>
      <c r="Y99" s="15"/>
    </row>
    <row r="100" spans="1:28" x14ac:dyDescent="0.35">
      <c r="A100" s="25" t="str">
        <f t="shared" si="40"/>
        <v/>
      </c>
      <c r="B100" s="21">
        <f ca="1">EDATE($B$28,72)</f>
        <v>46419</v>
      </c>
      <c r="C100" s="21" t="str">
        <f t="shared" ca="1" si="33"/>
        <v xml:space="preserve"> </v>
      </c>
      <c r="D100" s="25" t="str">
        <f t="shared" si="28"/>
        <v/>
      </c>
      <c r="E100" s="22" t="str">
        <f t="shared" si="29"/>
        <v/>
      </c>
      <c r="F100" s="22" t="str">
        <f>IF(AND(A99="",A101=""),"",IF(A100="",ROUND(SUM($F$29:F99),2),IF(A100=$D$8,$E$28-ROUND(SUM($F$29:F99),2),ROUND($E$28/$D$8,2))))</f>
        <v/>
      </c>
      <c r="G100" s="22" t="str">
        <f>IF(A99=$D$8,SUM($G$29:G99),IF(A100&gt;$F$8,"",IF(U100&lt;&gt;U99,SUM(W100*$F$24*E99/U100,X100*$F$24*E99/U99),E99*$F$24*D100/U99)))</f>
        <v/>
      </c>
      <c r="H100" s="22" t="str">
        <f>IF(A99=$D$8,SUM($H$29:H99),IF(A99&gt;$D$8,"",F100+G100))</f>
        <v/>
      </c>
      <c r="I100" s="22"/>
      <c r="J100" s="22"/>
      <c r="K100" s="22"/>
      <c r="L100" s="22"/>
      <c r="M100" s="22" t="str">
        <f t="shared" ref="M100:M113" si="41">IF(A99=$D$8,$M$28,"")</f>
        <v/>
      </c>
      <c r="N100" s="22"/>
      <c r="O100" s="22"/>
      <c r="P100" s="22"/>
      <c r="Q100" s="68" t="str">
        <f>IF(A99=$D$8,XIRR(H$28:H99,C$28:C99),"")</f>
        <v/>
      </c>
      <c r="R100" s="22" t="str">
        <f t="shared" si="34"/>
        <v/>
      </c>
      <c r="S100" s="22"/>
      <c r="T100" s="15" t="e">
        <f t="shared" ca="1" si="35"/>
        <v>#VALUE!</v>
      </c>
      <c r="U100" s="15" t="e">
        <f t="shared" ca="1" si="36"/>
        <v>#VALUE!</v>
      </c>
      <c r="V100" s="15" t="e">
        <f t="shared" ca="1" si="37"/>
        <v>#VALUE!</v>
      </c>
      <c r="W100" s="16" t="e">
        <f t="shared" ca="1" si="38"/>
        <v>#VALUE!</v>
      </c>
      <c r="X100" s="17" t="e">
        <f t="shared" ca="1" si="39"/>
        <v>#VALUE!</v>
      </c>
      <c r="Y100" s="15"/>
    </row>
    <row r="101" spans="1:28" x14ac:dyDescent="0.35">
      <c r="A101" s="25" t="str">
        <f t="shared" si="40"/>
        <v/>
      </c>
      <c r="B101" s="21">
        <f ca="1">EDATE($B$28,73)</f>
        <v>46447</v>
      </c>
      <c r="C101" s="21" t="str">
        <f t="shared" ca="1" si="33"/>
        <v xml:space="preserve"> </v>
      </c>
      <c r="D101" s="25" t="str">
        <f t="shared" si="28"/>
        <v/>
      </c>
      <c r="E101" s="22" t="str">
        <f t="shared" si="29"/>
        <v/>
      </c>
      <c r="F101" s="22" t="str">
        <f>IF(AND(A100="",A102=""),"",IF(A101="",ROUND(SUM($F$29:F100),2),IF(A101=$D$8,$E$28-ROUND(SUM($F$29:F100),2),ROUND($E$28/$D$8,2))))</f>
        <v/>
      </c>
      <c r="G101" s="22" t="str">
        <f>IF(A100=$D$8,SUM($G$29:G100),IF(A101&gt;$F$8,"",IF(U101&lt;&gt;U100,SUM(W101*$F$24*E100/U101,X101*$F$24*E100/U100),E100*$F$24*D101/U100)))</f>
        <v/>
      </c>
      <c r="H101" s="22" t="str">
        <f>IF(A100=$D$8,SUM($H$29:H100),IF(A100&gt;$D$8,"",F101+G101))</f>
        <v/>
      </c>
      <c r="I101" s="22"/>
      <c r="J101" s="22"/>
      <c r="K101" s="22"/>
      <c r="L101" s="22"/>
      <c r="M101" s="22" t="str">
        <f t="shared" si="41"/>
        <v/>
      </c>
      <c r="N101" s="22"/>
      <c r="O101" s="22"/>
      <c r="P101" s="22"/>
      <c r="Q101" s="68" t="str">
        <f>IF(A100=$D$8,XIRR(H$28:H100,C$28:C100),"")</f>
        <v/>
      </c>
      <c r="R101" s="22" t="str">
        <f t="shared" si="34"/>
        <v/>
      </c>
      <c r="S101" s="22"/>
      <c r="T101" s="15" t="e">
        <f t="shared" ca="1" si="35"/>
        <v>#VALUE!</v>
      </c>
      <c r="U101" s="15" t="e">
        <f t="shared" ca="1" si="36"/>
        <v>#VALUE!</v>
      </c>
      <c r="V101" s="15" t="e">
        <f t="shared" ca="1" si="37"/>
        <v>#VALUE!</v>
      </c>
      <c r="W101" s="16" t="e">
        <f t="shared" ca="1" si="38"/>
        <v>#VALUE!</v>
      </c>
      <c r="X101" s="17" t="e">
        <f t="shared" ca="1" si="39"/>
        <v>#VALUE!</v>
      </c>
      <c r="Y101" s="15"/>
    </row>
    <row r="102" spans="1:28" x14ac:dyDescent="0.35">
      <c r="A102" s="25" t="str">
        <f t="shared" si="40"/>
        <v/>
      </c>
      <c r="B102" s="21">
        <f ca="1">EDATE($B$28,74)</f>
        <v>46478</v>
      </c>
      <c r="C102" s="21" t="str">
        <f t="shared" ca="1" si="33"/>
        <v xml:space="preserve"> </v>
      </c>
      <c r="D102" s="25" t="str">
        <f t="shared" si="28"/>
        <v/>
      </c>
      <c r="E102" s="22" t="str">
        <f t="shared" si="29"/>
        <v/>
      </c>
      <c r="F102" s="22" t="str">
        <f>IF(AND(A101="",A103=""),"",IF(A102="",ROUND(SUM($F$29:F101),2),IF(A102=$D$8,$E$28-ROUND(SUM($F$29:F101),2),ROUND($E$28/$D$8,2))))</f>
        <v/>
      </c>
      <c r="G102" s="22" t="str">
        <f>IF(A101=$D$8,SUM($G$29:G101),IF(A102&gt;$F$8,"",IF(U102&lt;&gt;U101,SUM(W102*$F$24*E101/U102,X102*$F$24*E101/U101),E101*$F$24*D102/U101)))</f>
        <v/>
      </c>
      <c r="H102" s="22" t="str">
        <f>IF(A101=$D$8,SUM($H$29:H101),IF(A101&gt;$D$8,"",F102+G102))</f>
        <v/>
      </c>
      <c r="I102" s="22"/>
      <c r="J102" s="22"/>
      <c r="K102" s="22"/>
      <c r="L102" s="22"/>
      <c r="M102" s="22" t="str">
        <f t="shared" si="41"/>
        <v/>
      </c>
      <c r="N102" s="22"/>
      <c r="O102" s="22"/>
      <c r="P102" s="22"/>
      <c r="Q102" s="68" t="str">
        <f>IF(A101=$D$8,XIRR(H$28:H101,C$28:C101),"")</f>
        <v/>
      </c>
      <c r="R102" s="22" t="str">
        <f t="shared" si="34"/>
        <v/>
      </c>
      <c r="S102" s="22"/>
      <c r="T102" s="15" t="e">
        <f t="shared" ca="1" si="35"/>
        <v>#VALUE!</v>
      </c>
      <c r="U102" s="15" t="e">
        <f t="shared" ca="1" si="36"/>
        <v>#VALUE!</v>
      </c>
      <c r="V102" s="15" t="e">
        <f t="shared" ca="1" si="37"/>
        <v>#VALUE!</v>
      </c>
      <c r="W102" s="16" t="e">
        <f t="shared" ca="1" si="38"/>
        <v>#VALUE!</v>
      </c>
      <c r="X102" s="17" t="e">
        <f t="shared" ca="1" si="39"/>
        <v>#VALUE!</v>
      </c>
      <c r="Y102" s="15"/>
    </row>
    <row r="103" spans="1:28" x14ac:dyDescent="0.35">
      <c r="A103" s="25" t="str">
        <f t="shared" si="40"/>
        <v/>
      </c>
      <c r="B103" s="21">
        <f ca="1">EDATE($B$28,75)</f>
        <v>46508</v>
      </c>
      <c r="C103" s="21" t="str">
        <f t="shared" ca="1" si="33"/>
        <v xml:space="preserve"> </v>
      </c>
      <c r="D103" s="25" t="str">
        <f t="shared" si="28"/>
        <v/>
      </c>
      <c r="E103" s="22" t="str">
        <f t="shared" si="29"/>
        <v/>
      </c>
      <c r="F103" s="22" t="str">
        <f>IF(AND(A102="",A104=""),"",IF(A103="",ROUND(SUM($F$29:F102),2),IF(A103=$D$8,$E$28-ROUND(SUM($F$29:F102),2),ROUND($E$28/$D$8,2))))</f>
        <v/>
      </c>
      <c r="G103" s="22" t="str">
        <f>IF(A102=$D$8,SUM($G$29:G102),IF(A103&gt;$F$8,"",IF(U103&lt;&gt;U102,SUM(W103*$F$24*E102/U103,X103*$F$24*E102/U102),E102*$F$24*D103/U102)))</f>
        <v/>
      </c>
      <c r="H103" s="22" t="str">
        <f>IF(A102=$D$8,SUM($H$29:H102),IF(A102&gt;$D$8,"",F103+G103))</f>
        <v/>
      </c>
      <c r="I103" s="22"/>
      <c r="J103" s="22"/>
      <c r="K103" s="22"/>
      <c r="L103" s="22"/>
      <c r="M103" s="22" t="str">
        <f t="shared" si="41"/>
        <v/>
      </c>
      <c r="N103" s="22"/>
      <c r="O103" s="22"/>
      <c r="P103" s="22"/>
      <c r="Q103" s="68" t="str">
        <f>IF(A102=$D$8,XIRR(H$28:H102,C$28:C102),"")</f>
        <v/>
      </c>
      <c r="R103" s="22" t="str">
        <f t="shared" si="34"/>
        <v/>
      </c>
      <c r="S103" s="22"/>
      <c r="T103" s="15" t="e">
        <f t="shared" ca="1" si="35"/>
        <v>#VALUE!</v>
      </c>
      <c r="U103" s="15" t="e">
        <f t="shared" ca="1" si="36"/>
        <v>#VALUE!</v>
      </c>
      <c r="V103" s="15" t="e">
        <f t="shared" ca="1" si="37"/>
        <v>#VALUE!</v>
      </c>
      <c r="W103" s="16" t="e">
        <f t="shared" ca="1" si="38"/>
        <v>#VALUE!</v>
      </c>
      <c r="X103" s="17" t="e">
        <f t="shared" ca="1" si="39"/>
        <v>#VALUE!</v>
      </c>
      <c r="Y103" s="15"/>
    </row>
    <row r="104" spans="1:28" x14ac:dyDescent="0.35">
      <c r="A104" s="25" t="str">
        <f t="shared" si="40"/>
        <v/>
      </c>
      <c r="B104" s="21">
        <f ca="1">EDATE($B$28,76)</f>
        <v>46539</v>
      </c>
      <c r="C104" s="21" t="str">
        <f t="shared" ca="1" si="33"/>
        <v xml:space="preserve"> </v>
      </c>
      <c r="D104" s="25" t="str">
        <f t="shared" si="28"/>
        <v/>
      </c>
      <c r="E104" s="22" t="str">
        <f t="shared" si="29"/>
        <v/>
      </c>
      <c r="F104" s="22" t="str">
        <f>IF(AND(A103="",A105=""),"",IF(A104="",ROUND(SUM($F$29:F103),2),IF(A104=$D$8,$E$28-ROUND(SUM($F$29:F103),2),ROUND($E$28/$D$8,2))))</f>
        <v/>
      </c>
      <c r="G104" s="22" t="str">
        <f>IF(A103=$D$8,SUM($G$29:G103),IF(A104&gt;$F$8,"",IF(U104&lt;&gt;U103,SUM(W104*$F$24*E103/U104,X104*$F$24*E103/U103),E103*$F$24*D104/U103)))</f>
        <v/>
      </c>
      <c r="H104" s="22" t="str">
        <f>IF(A103=$D$8,SUM($H$29:H103),IF(A103&gt;$D$8,"",F104+G104))</f>
        <v/>
      </c>
      <c r="I104" s="22"/>
      <c r="J104" s="22"/>
      <c r="K104" s="22"/>
      <c r="L104" s="22"/>
      <c r="M104" s="22" t="str">
        <f t="shared" si="41"/>
        <v/>
      </c>
      <c r="N104" s="22"/>
      <c r="O104" s="22"/>
      <c r="P104" s="22"/>
      <c r="Q104" s="68" t="str">
        <f>IF(A103=$D$8,XIRR(H$28:H103,C$28:C103),"")</f>
        <v/>
      </c>
      <c r="R104" s="22" t="str">
        <f t="shared" si="34"/>
        <v/>
      </c>
      <c r="S104" s="22"/>
      <c r="T104" s="15" t="e">
        <f t="shared" ca="1" si="35"/>
        <v>#VALUE!</v>
      </c>
      <c r="U104" s="15" t="e">
        <f t="shared" ca="1" si="36"/>
        <v>#VALUE!</v>
      </c>
      <c r="V104" s="15" t="e">
        <f t="shared" ca="1" si="37"/>
        <v>#VALUE!</v>
      </c>
      <c r="W104" s="16" t="e">
        <f t="shared" ca="1" si="38"/>
        <v>#VALUE!</v>
      </c>
      <c r="X104" s="17" t="e">
        <f t="shared" ca="1" si="39"/>
        <v>#VALUE!</v>
      </c>
      <c r="Y104" s="15"/>
    </row>
    <row r="105" spans="1:28" x14ac:dyDescent="0.35">
      <c r="A105" s="25" t="str">
        <f t="shared" si="40"/>
        <v/>
      </c>
      <c r="B105" s="21">
        <f ca="1">EDATE($B$28,77)</f>
        <v>46569</v>
      </c>
      <c r="C105" s="21" t="str">
        <f t="shared" ca="1" si="33"/>
        <v xml:space="preserve"> </v>
      </c>
      <c r="D105" s="25" t="str">
        <f t="shared" si="28"/>
        <v/>
      </c>
      <c r="E105" s="22" t="str">
        <f t="shared" si="29"/>
        <v/>
      </c>
      <c r="F105" s="22" t="str">
        <f>IF(AND(A104="",A106=""),"",IF(A105="",ROUND(SUM($F$29:F104),2),IF(A105=$D$8,$E$28-ROUND(SUM($F$29:F104),2),ROUND($E$28/$D$8,2))))</f>
        <v/>
      </c>
      <c r="G105" s="22" t="str">
        <f>IF(A104=$D$8,SUM($G$29:G104),IF(A105&gt;$F$8,"",IF(U105&lt;&gt;U104,SUM(W105*$F$24*E104/U105,X105*$F$24*E104/U104),E104*$F$24*D105/U104)))</f>
        <v/>
      </c>
      <c r="H105" s="22" t="str">
        <f>IF(A104=$D$8,SUM($H$29:H104),IF(A104&gt;$D$8,"",F105+G105))</f>
        <v/>
      </c>
      <c r="I105" s="22"/>
      <c r="J105" s="22"/>
      <c r="K105" s="22"/>
      <c r="L105" s="22"/>
      <c r="M105" s="22" t="str">
        <f t="shared" si="41"/>
        <v/>
      </c>
      <c r="N105" s="22"/>
      <c r="O105" s="22"/>
      <c r="P105" s="22"/>
      <c r="Q105" s="68" t="str">
        <f>IF(A104=$D$8,XIRR(H$28:H104,C$28:C104),"")</f>
        <v/>
      </c>
      <c r="R105" s="22" t="str">
        <f t="shared" si="34"/>
        <v/>
      </c>
      <c r="S105" s="22"/>
      <c r="T105" s="15" t="e">
        <f t="shared" ca="1" si="35"/>
        <v>#VALUE!</v>
      </c>
      <c r="U105" s="15" t="e">
        <f t="shared" ca="1" si="36"/>
        <v>#VALUE!</v>
      </c>
      <c r="V105" s="15" t="e">
        <f t="shared" ca="1" si="37"/>
        <v>#VALUE!</v>
      </c>
      <c r="W105" s="16" t="e">
        <f t="shared" ca="1" si="38"/>
        <v>#VALUE!</v>
      </c>
      <c r="X105" s="17" t="e">
        <f t="shared" ca="1" si="39"/>
        <v>#VALUE!</v>
      </c>
      <c r="Y105" s="15"/>
    </row>
    <row r="106" spans="1:28" x14ac:dyDescent="0.35">
      <c r="A106" s="25" t="str">
        <f t="shared" si="40"/>
        <v/>
      </c>
      <c r="B106" s="21">
        <f ca="1">EDATE($B$28,78)</f>
        <v>46600</v>
      </c>
      <c r="C106" s="21" t="str">
        <f t="shared" ca="1" si="33"/>
        <v xml:space="preserve"> </v>
      </c>
      <c r="D106" s="25" t="str">
        <f t="shared" ref="D106:D112" si="42">IF(A106&gt;$D$8,"",C106-C105)</f>
        <v/>
      </c>
      <c r="E106" s="22" t="str">
        <f t="shared" ref="E106:E112" si="43">IF(A106&gt;$D$8,"",E105-F106)</f>
        <v/>
      </c>
      <c r="F106" s="22" t="str">
        <f>IF(AND(A105="",A107=""),"",IF(A106="",ROUND(SUM($F$29:F105),2),IF(A106=$D$8,$E$28-ROUND(SUM($F$29:F105),2),ROUND($E$28/$D$8,2))))</f>
        <v/>
      </c>
      <c r="G106" s="22" t="str">
        <f>IF(A105=$D$8,SUM($G$29:G105),IF(A106&gt;$F$8,"",IF(U106&lt;&gt;U105,SUM(W106*$F$24*E105/U106,X106*$F$24*E105/U105),E105*$F$24*D106/U105)))</f>
        <v/>
      </c>
      <c r="H106" s="22" t="str">
        <f>IF(A105=$D$8,SUM($H$29:H105),IF(A105&gt;$D$8,"",F106+G106))</f>
        <v/>
      </c>
      <c r="I106" s="22"/>
      <c r="J106" s="22"/>
      <c r="K106" s="22"/>
      <c r="L106" s="22"/>
      <c r="M106" s="22" t="str">
        <f t="shared" si="41"/>
        <v/>
      </c>
      <c r="N106" s="22"/>
      <c r="O106" s="22"/>
      <c r="P106" s="22"/>
      <c r="Q106" s="68" t="str">
        <f>IF(A105=$D$8,XIRR(H$28:H105,C$28:C105),"")</f>
        <v/>
      </c>
      <c r="R106" s="22" t="str">
        <f t="shared" si="34"/>
        <v/>
      </c>
      <c r="S106" s="22"/>
      <c r="T106" s="15" t="e">
        <f t="shared" ca="1" si="35"/>
        <v>#VALUE!</v>
      </c>
      <c r="U106" s="15" t="e">
        <f t="shared" ca="1" si="36"/>
        <v>#VALUE!</v>
      </c>
      <c r="V106" s="15" t="e">
        <f t="shared" ca="1" si="37"/>
        <v>#VALUE!</v>
      </c>
      <c r="W106" s="16" t="e">
        <f t="shared" ca="1" si="38"/>
        <v>#VALUE!</v>
      </c>
      <c r="X106" s="17" t="e">
        <f t="shared" ca="1" si="39"/>
        <v>#VALUE!</v>
      </c>
      <c r="Y106" s="15"/>
    </row>
    <row r="107" spans="1:28" x14ac:dyDescent="0.35">
      <c r="A107" s="25" t="str">
        <f t="shared" si="40"/>
        <v/>
      </c>
      <c r="B107" s="21">
        <f ca="1">EDATE($B$28,79)</f>
        <v>46631</v>
      </c>
      <c r="C107" s="21" t="str">
        <f t="shared" ca="1" si="33"/>
        <v xml:space="preserve"> </v>
      </c>
      <c r="D107" s="25" t="str">
        <f t="shared" si="42"/>
        <v/>
      </c>
      <c r="E107" s="22" t="str">
        <f t="shared" si="43"/>
        <v/>
      </c>
      <c r="F107" s="22" t="str">
        <f>IF(AND(A106="",A108=""),"",IF(A107="",ROUND(SUM($F$29:F106),2),IF(A107=$D$8,$E$28-ROUND(SUM($F$29:F106),2),ROUND($E$28/$D$8,2))))</f>
        <v/>
      </c>
      <c r="G107" s="22" t="str">
        <f>IF(A106=$D$8,SUM($G$29:G106),IF(A107&gt;$F$8,"",IF(U107&lt;&gt;U106,SUM(W107*$F$24*E106/U107,X107*$F$24*E106/U106),E106*$F$24*D107/U106)))</f>
        <v/>
      </c>
      <c r="H107" s="22" t="str">
        <f>IF(A106=$D$8,SUM($H$29:H106),IF(A106&gt;$D$8,"",F107+G107))</f>
        <v/>
      </c>
      <c r="I107" s="22"/>
      <c r="J107" s="22"/>
      <c r="K107" s="22"/>
      <c r="L107" s="22"/>
      <c r="M107" s="22" t="str">
        <f t="shared" si="41"/>
        <v/>
      </c>
      <c r="N107" s="22"/>
      <c r="O107" s="22"/>
      <c r="P107" s="22"/>
      <c r="Q107" s="68" t="str">
        <f>IF(A106=$D$8,XIRR(H$28:H106,C$28:C106),"")</f>
        <v/>
      </c>
      <c r="R107" s="22" t="str">
        <f t="shared" si="34"/>
        <v/>
      </c>
      <c r="S107" s="22"/>
      <c r="T107" s="15" t="e">
        <f t="shared" ca="1" si="35"/>
        <v>#VALUE!</v>
      </c>
      <c r="U107" s="15" t="e">
        <f t="shared" ca="1" si="36"/>
        <v>#VALUE!</v>
      </c>
      <c r="V107" s="15" t="e">
        <f t="shared" ca="1" si="37"/>
        <v>#VALUE!</v>
      </c>
      <c r="W107" s="16" t="e">
        <f t="shared" ca="1" si="38"/>
        <v>#VALUE!</v>
      </c>
      <c r="X107" s="17" t="e">
        <f t="shared" ca="1" si="39"/>
        <v>#VALUE!</v>
      </c>
      <c r="Y107" s="15"/>
    </row>
    <row r="108" spans="1:28" x14ac:dyDescent="0.35">
      <c r="A108" s="25" t="str">
        <f t="shared" si="40"/>
        <v/>
      </c>
      <c r="B108" s="21">
        <f ca="1">EDATE($B$28,80)</f>
        <v>46661</v>
      </c>
      <c r="C108" s="21" t="str">
        <f t="shared" ca="1" si="33"/>
        <v xml:space="preserve"> </v>
      </c>
      <c r="D108" s="25" t="str">
        <f t="shared" si="42"/>
        <v/>
      </c>
      <c r="E108" s="22" t="str">
        <f t="shared" si="43"/>
        <v/>
      </c>
      <c r="F108" s="22" t="str">
        <f>IF(AND(A107="",A109=""),"",IF(A108="",ROUND(SUM($F$29:F107),2),IF(A108=$D$8,$E$28-ROUND(SUM($F$29:F107),2),ROUND($E$28/$D$8,2))))</f>
        <v/>
      </c>
      <c r="G108" s="22" t="str">
        <f>IF(A107=$D$8,SUM($G$29:G107),IF(A108&gt;$F$8,"",IF(U108&lt;&gt;U107,SUM(W108*$F$24*E107/U108,X108*$F$24*E107/U107),E107*$F$24*D108/U107)))</f>
        <v/>
      </c>
      <c r="H108" s="22" t="str">
        <f>IF(A107=$D$8,SUM($H$29:H107),IF(A107&gt;$D$8,"",F108+G108))</f>
        <v/>
      </c>
      <c r="I108" s="22"/>
      <c r="J108" s="22"/>
      <c r="K108" s="22"/>
      <c r="L108" s="22"/>
      <c r="M108" s="22" t="str">
        <f t="shared" si="41"/>
        <v/>
      </c>
      <c r="N108" s="22"/>
      <c r="O108" s="22"/>
      <c r="P108" s="22"/>
      <c r="Q108" s="68" t="str">
        <f>IF(A107=$D$8,XIRR(H$28:H107,C$28:C107),"")</f>
        <v/>
      </c>
      <c r="R108" s="22" t="str">
        <f t="shared" si="34"/>
        <v/>
      </c>
      <c r="S108" s="22"/>
      <c r="T108" s="15" t="e">
        <f t="shared" ca="1" si="35"/>
        <v>#VALUE!</v>
      </c>
      <c r="U108" s="15" t="e">
        <f t="shared" ca="1" si="36"/>
        <v>#VALUE!</v>
      </c>
      <c r="V108" s="15" t="e">
        <f t="shared" ca="1" si="37"/>
        <v>#VALUE!</v>
      </c>
      <c r="W108" s="16" t="e">
        <f t="shared" ca="1" si="38"/>
        <v>#VALUE!</v>
      </c>
      <c r="X108" s="17" t="e">
        <f t="shared" ca="1" si="39"/>
        <v>#VALUE!</v>
      </c>
      <c r="Y108" s="15"/>
    </row>
    <row r="109" spans="1:28" x14ac:dyDescent="0.35">
      <c r="A109" s="25" t="str">
        <f t="shared" si="40"/>
        <v/>
      </c>
      <c r="B109" s="21">
        <f ca="1">EDATE($B$28,81)</f>
        <v>46692</v>
      </c>
      <c r="C109" s="21" t="str">
        <f t="shared" ca="1" si="33"/>
        <v xml:space="preserve"> </v>
      </c>
      <c r="D109" s="25" t="str">
        <f t="shared" si="42"/>
        <v/>
      </c>
      <c r="E109" s="22" t="str">
        <f t="shared" si="43"/>
        <v/>
      </c>
      <c r="F109" s="22" t="str">
        <f>IF(AND(A108="",A110=""),"",IF(A109="",ROUND(SUM($F$29:F108),2),IF(A109=$D$8,$E$28-ROUND(SUM($F$29:F108),2),ROUND($E$28/$D$8,2))))</f>
        <v/>
      </c>
      <c r="G109" s="22" t="str">
        <f>IF(A108=$D$8,SUM($G$29:G108),IF(A109&gt;$F$8,"",IF(U109&lt;&gt;U108,SUM(W109*$F$24*E108/U109,X109*$F$24*E108/U108),E108*$F$24*D109/U108)))</f>
        <v/>
      </c>
      <c r="H109" s="22" t="str">
        <f>IF(A108=$D$8,SUM($H$29:H108),IF(A108&gt;$D$8,"",F109+G109))</f>
        <v/>
      </c>
      <c r="I109" s="22"/>
      <c r="J109" s="22"/>
      <c r="K109" s="22"/>
      <c r="L109" s="22"/>
      <c r="M109" s="22" t="str">
        <f t="shared" si="41"/>
        <v/>
      </c>
      <c r="N109" s="22"/>
      <c r="O109" s="22"/>
      <c r="P109" s="22"/>
      <c r="Q109" s="68" t="str">
        <f>IF(A108=$D$8,XIRR(H$28:H108,C$28:C108),"")</f>
        <v/>
      </c>
      <c r="R109" s="22" t="str">
        <f t="shared" si="34"/>
        <v/>
      </c>
      <c r="S109" s="22"/>
      <c r="T109" s="15" t="e">
        <f t="shared" ca="1" si="35"/>
        <v>#VALUE!</v>
      </c>
      <c r="U109" s="15" t="e">
        <f t="shared" ca="1" si="36"/>
        <v>#VALUE!</v>
      </c>
      <c r="V109" s="15" t="e">
        <f t="shared" ca="1" si="37"/>
        <v>#VALUE!</v>
      </c>
      <c r="W109" s="16" t="e">
        <f t="shared" ca="1" si="38"/>
        <v>#VALUE!</v>
      </c>
      <c r="X109" s="17" t="e">
        <f t="shared" ca="1" si="39"/>
        <v>#VALUE!</v>
      </c>
      <c r="Y109" s="15"/>
    </row>
    <row r="110" spans="1:28" x14ac:dyDescent="0.35">
      <c r="A110" s="25" t="str">
        <f t="shared" si="40"/>
        <v/>
      </c>
      <c r="B110" s="21">
        <f ca="1">EDATE($B$28,82)</f>
        <v>46722</v>
      </c>
      <c r="C110" s="21" t="str">
        <f t="shared" ca="1" si="33"/>
        <v xml:space="preserve"> </v>
      </c>
      <c r="D110" s="25" t="str">
        <f t="shared" si="42"/>
        <v/>
      </c>
      <c r="E110" s="22" t="str">
        <f t="shared" si="43"/>
        <v/>
      </c>
      <c r="F110" s="22" t="str">
        <f>IF(AND(A109="",A111=""),"",IF(A110="",ROUND(SUM($F$29:F109),2),IF(A110=$D$8,$E$28-ROUND(SUM($F$29:F109),2),ROUND($E$28/$D$8,2))))</f>
        <v/>
      </c>
      <c r="G110" s="22" t="str">
        <f>IF(A109=$D$8,SUM($G$29:G109),IF(A110&gt;$F$8,"",IF(U110&lt;&gt;U109,SUM(W110*$F$24*E109/U110,X110*$F$24*E109/U109),E109*$F$24*D110/U109)))</f>
        <v/>
      </c>
      <c r="H110" s="22" t="str">
        <f>IF(A109=$D$8,SUM($H$29:H109),IF(A109&gt;$D$8,"",F110+G110))</f>
        <v/>
      </c>
      <c r="I110" s="22"/>
      <c r="J110" s="22"/>
      <c r="K110" s="22"/>
      <c r="L110" s="22"/>
      <c r="M110" s="22" t="str">
        <f t="shared" si="41"/>
        <v/>
      </c>
      <c r="N110" s="22"/>
      <c r="O110" s="22"/>
      <c r="P110" s="22"/>
      <c r="Q110" s="68" t="str">
        <f>IF(A109=$D$8,XIRR(H$28:H109,C$28:C109),"")</f>
        <v/>
      </c>
      <c r="R110" s="22" t="str">
        <f t="shared" si="34"/>
        <v/>
      </c>
      <c r="S110" s="22"/>
      <c r="T110" s="15" t="e">
        <f t="shared" ca="1" si="35"/>
        <v>#VALUE!</v>
      </c>
      <c r="U110" s="15" t="e">
        <f t="shared" ca="1" si="36"/>
        <v>#VALUE!</v>
      </c>
      <c r="V110" s="15" t="e">
        <f t="shared" ca="1" si="37"/>
        <v>#VALUE!</v>
      </c>
      <c r="W110" s="16" t="e">
        <f t="shared" ca="1" si="38"/>
        <v>#VALUE!</v>
      </c>
      <c r="X110" s="17" t="e">
        <f t="shared" ca="1" si="39"/>
        <v>#VALUE!</v>
      </c>
      <c r="Y110" s="15"/>
    </row>
    <row r="111" spans="1:28" x14ac:dyDescent="0.35">
      <c r="A111" s="25" t="str">
        <f t="shared" si="40"/>
        <v/>
      </c>
      <c r="B111" s="21">
        <f ca="1">EDATE($B$28,83)</f>
        <v>46753</v>
      </c>
      <c r="C111" s="21" t="str">
        <f t="shared" ca="1" si="33"/>
        <v xml:space="preserve"> </v>
      </c>
      <c r="D111" s="25" t="str">
        <f t="shared" si="42"/>
        <v/>
      </c>
      <c r="E111" s="22" t="str">
        <f t="shared" si="43"/>
        <v/>
      </c>
      <c r="F111" s="22" t="str">
        <f>IF(AND(A110="",A112=""),"",IF(A111="",ROUND(SUM($F$29:F110),2),IF(A111=$D$8,$E$28-ROUND(SUM($F$29:F110),2),ROUND($E$28/$D$8,2))))</f>
        <v/>
      </c>
      <c r="G111" s="22" t="str">
        <f>IF(A110=$D$8,SUM($G$29:G110),IF(A111&gt;$F$8,"",IF(U111&lt;&gt;U110,SUM(W111*$F$24*E110/U111,X111*$F$24*E110/U110),E110*$F$24*D111/U110)))</f>
        <v/>
      </c>
      <c r="H111" s="22" t="str">
        <f>IF(A110=$D$8,SUM($H$29:H110),IF(A110&gt;$D$8,"",F111+G111))</f>
        <v/>
      </c>
      <c r="I111" s="22"/>
      <c r="J111" s="22"/>
      <c r="K111" s="22"/>
      <c r="L111" s="22"/>
      <c r="M111" s="22" t="str">
        <f t="shared" si="41"/>
        <v/>
      </c>
      <c r="N111" s="22"/>
      <c r="O111" s="22"/>
      <c r="P111" s="22"/>
      <c r="Q111" s="68" t="str">
        <f>IF(A110=$D$8,XIRR(H$28:H110,C$28:C110),"")</f>
        <v/>
      </c>
      <c r="R111" s="22" t="str">
        <f t="shared" si="34"/>
        <v/>
      </c>
      <c r="S111" s="22"/>
      <c r="T111" s="15" t="e">
        <f t="shared" ca="1" si="35"/>
        <v>#VALUE!</v>
      </c>
      <c r="U111" s="15" t="e">
        <f t="shared" ca="1" si="36"/>
        <v>#VALUE!</v>
      </c>
      <c r="V111" s="15" t="e">
        <f t="shared" ca="1" si="37"/>
        <v>#VALUE!</v>
      </c>
      <c r="W111" s="16" t="e">
        <f t="shared" ca="1" si="38"/>
        <v>#VALUE!</v>
      </c>
      <c r="X111" s="17" t="e">
        <f t="shared" ca="1" si="39"/>
        <v>#VALUE!</v>
      </c>
      <c r="Y111" s="15"/>
      <c r="AB111" s="69"/>
    </row>
    <row r="112" spans="1:28" x14ac:dyDescent="0.35">
      <c r="A112" s="25" t="str">
        <f t="shared" si="40"/>
        <v/>
      </c>
      <c r="B112" s="21">
        <f ca="1">EDATE($B$28,84)</f>
        <v>46784</v>
      </c>
      <c r="C112" s="21" t="str">
        <f ca="1">IF(B112=$D$19,B112-1,(IF(B112&gt;$D$19," ",B112)))</f>
        <v xml:space="preserve"> </v>
      </c>
      <c r="D112" s="25" t="str">
        <f t="shared" si="42"/>
        <v/>
      </c>
      <c r="E112" s="22" t="str">
        <f t="shared" si="43"/>
        <v/>
      </c>
      <c r="F112" s="22" t="str">
        <f>IF(AND(A111="",A113=""),"",IF(A112="",ROUND(SUM($F$29:F111),2),IF(A112=$D$8,$E$28-ROUND(SUM($F$29:F111),2),ROUND($E$28/$D$8,2))))</f>
        <v/>
      </c>
      <c r="G112" s="22" t="str">
        <f>IF(A111=$D$8,SUM($G$29:G111),IF(A112&gt;$F$8,"",IF(U112&lt;&gt;U111,SUM(W112*$F$24*E111/U112,X112*$F$24*E111/U111),E111*$F$24*D112/U111)))</f>
        <v/>
      </c>
      <c r="H112" s="22" t="str">
        <f>IF(A111=$D$8,SUM($H$29:H111),IF(A111&gt;$D$8,"",F112+G112))</f>
        <v/>
      </c>
      <c r="I112" s="22"/>
      <c r="J112" s="22"/>
      <c r="K112" s="22"/>
      <c r="L112" s="22"/>
      <c r="M112" s="22" t="str">
        <f t="shared" si="41"/>
        <v/>
      </c>
      <c r="N112" s="22"/>
      <c r="O112" s="22"/>
      <c r="P112" s="22"/>
      <c r="Q112" s="68" t="str">
        <f>IF(A111=$D$8,XIRR(H$28:H111,C$28:C111),"")</f>
        <v/>
      </c>
      <c r="R112" s="22" t="str">
        <f t="shared" si="34"/>
        <v/>
      </c>
      <c r="S112" s="22"/>
      <c r="T112" s="15" t="e">
        <f t="shared" ca="1" si="35"/>
        <v>#VALUE!</v>
      </c>
      <c r="U112" s="15" t="e">
        <f t="shared" ca="1" si="36"/>
        <v>#VALUE!</v>
      </c>
      <c r="V112" s="15" t="e">
        <f t="shared" ca="1" si="37"/>
        <v>#VALUE!</v>
      </c>
      <c r="W112" s="16" t="e">
        <f t="shared" ca="1" si="38"/>
        <v>#VALUE!</v>
      </c>
      <c r="X112" s="17" t="e">
        <f t="shared" ca="1" si="39"/>
        <v>#VALUE!</v>
      </c>
      <c r="Y112" s="15"/>
    </row>
    <row r="113" spans="1:25" x14ac:dyDescent="0.35">
      <c r="A113" s="25" t="str">
        <f t="shared" si="40"/>
        <v/>
      </c>
      <c r="B113" s="15"/>
      <c r="C113" s="21"/>
      <c r="D113" s="15"/>
      <c r="E113" s="15"/>
      <c r="F113" s="22" t="str">
        <f>IF(AND(A112="",A114=""),"",IF(A113="",ROUND(SUM($F$29:F112),2),IF(A113=$D$8,$E$28-ROUND(SUM($F$29:F112),2),ROUND($E$28/$D$8,2))))</f>
        <v/>
      </c>
      <c r="G113" s="22" t="str">
        <f>IF(A112=$D$8,SUM($G$29:G112),IF(A113&gt;$F$8,"",IF(U113&lt;&gt;U112,SUM(W113*$F$24*E112/U113,X113*$F$24*E112/U112),E112*$F$24*D113/U112)))</f>
        <v/>
      </c>
      <c r="H113" s="22" t="str">
        <f>IF(A112=$D$8,SUM($H$29:H112),IF(A112&gt;$D$8,"",F113+G113))</f>
        <v/>
      </c>
      <c r="I113" s="22"/>
      <c r="J113" s="22"/>
      <c r="K113" s="22"/>
      <c r="L113" s="22"/>
      <c r="M113" s="22" t="str">
        <f t="shared" si="41"/>
        <v/>
      </c>
      <c r="N113" s="22"/>
      <c r="O113" s="22"/>
      <c r="P113" s="22"/>
      <c r="Q113" s="68" t="str">
        <f>IF(A112=$D$8,XIRR(H$28:H112,C$28:C112),"")</f>
        <v/>
      </c>
      <c r="R113" s="22" t="str">
        <f>IF(A112=$D$8,G113+M113+F113,"")</f>
        <v/>
      </c>
      <c r="S113" s="22"/>
      <c r="T113" s="15"/>
      <c r="U113" s="15"/>
      <c r="V113" s="15"/>
      <c r="W113" s="15"/>
      <c r="X113" s="15"/>
      <c r="Y113" s="15"/>
    </row>
    <row r="114" spans="1:25" x14ac:dyDescent="0.35">
      <c r="A114" s="15"/>
      <c r="B114" s="15"/>
      <c r="C114" s="21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68"/>
      <c r="R114" s="15"/>
      <c r="S114" s="15"/>
      <c r="T114" s="15"/>
      <c r="U114" s="15"/>
      <c r="V114" s="15"/>
      <c r="W114" s="15"/>
      <c r="X114" s="15"/>
      <c r="Y114" s="15"/>
    </row>
    <row r="115" spans="1:25" x14ac:dyDescent="0.35">
      <c r="A115" s="15"/>
      <c r="B115" s="15"/>
      <c r="C115" s="21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68"/>
      <c r="R115" s="15"/>
      <c r="S115" s="15"/>
      <c r="T115" s="15"/>
      <c r="U115" s="15"/>
      <c r="V115" s="15"/>
      <c r="W115" s="15"/>
      <c r="X115" s="15"/>
      <c r="Y115" s="15"/>
    </row>
    <row r="116" spans="1:25" x14ac:dyDescent="0.35">
      <c r="A116" s="15"/>
      <c r="B116" s="15"/>
      <c r="C116" s="21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68"/>
      <c r="R116" s="15"/>
      <c r="S116" s="15"/>
      <c r="T116" s="15"/>
      <c r="U116" s="15"/>
      <c r="V116" s="15"/>
      <c r="W116" s="15"/>
      <c r="X116" s="15"/>
      <c r="Y116" s="15"/>
    </row>
    <row r="117" spans="1:25" x14ac:dyDescent="0.35">
      <c r="A117" s="15"/>
      <c r="B117" s="15"/>
      <c r="C117" s="21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 x14ac:dyDescent="0.3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 x14ac:dyDescent="0.3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x14ac:dyDescent="0.3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x14ac:dyDescent="0.3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 x14ac:dyDescent="0.3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 x14ac:dyDescent="0.3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 x14ac:dyDescent="0.3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 x14ac:dyDescent="0.3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 x14ac:dyDescent="0.3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 x14ac:dyDescent="0.3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 x14ac:dyDescent="0.3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1:25" x14ac:dyDescent="0.3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1:25" x14ac:dyDescent="0.3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1:25" x14ac:dyDescent="0.3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1:25" x14ac:dyDescent="0.3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1:25" x14ac:dyDescent="0.3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1:25" x14ac:dyDescent="0.3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1:25" x14ac:dyDescent="0.3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1:25" x14ac:dyDescent="0.3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1:25" x14ac:dyDescent="0.3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1:25" x14ac:dyDescent="0.3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1:25" x14ac:dyDescent="0.3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1:25" x14ac:dyDescent="0.3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1:25" x14ac:dyDescent="0.3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1:25" x14ac:dyDescent="0.3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1:25" x14ac:dyDescent="0.3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1:25" x14ac:dyDescent="0.3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1:25" x14ac:dyDescent="0.3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1:25" x14ac:dyDescent="0.3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1:25" x14ac:dyDescent="0.3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1:25" x14ac:dyDescent="0.3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1:25" x14ac:dyDescent="0.3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1:25" x14ac:dyDescent="0.3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1:25" x14ac:dyDescent="0.3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1:25" x14ac:dyDescent="0.3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1:25" x14ac:dyDescent="0.3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1:25" x14ac:dyDescent="0.3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1:25" x14ac:dyDescent="0.3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1:25" x14ac:dyDescent="0.3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1:25" x14ac:dyDescent="0.3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1:25" x14ac:dyDescent="0.3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1:25" x14ac:dyDescent="0.3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1:25" x14ac:dyDescent="0.3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1:25" x14ac:dyDescent="0.3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1:25" x14ac:dyDescent="0.3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1:25" x14ac:dyDescent="0.3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1:25" x14ac:dyDescent="0.3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1:25" x14ac:dyDescent="0.3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1:25" x14ac:dyDescent="0.3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1:25" x14ac:dyDescent="0.3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1:25" x14ac:dyDescent="0.3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1:25" x14ac:dyDescent="0.3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1:25" x14ac:dyDescent="0.3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1:25" x14ac:dyDescent="0.3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spans="1:25" x14ac:dyDescent="0.3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1:25" x14ac:dyDescent="0.3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spans="1:25" x14ac:dyDescent="0.3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spans="1:25" x14ac:dyDescent="0.3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spans="1:25" x14ac:dyDescent="0.3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spans="1:25" x14ac:dyDescent="0.3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spans="1:25" x14ac:dyDescent="0.3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spans="1:25" x14ac:dyDescent="0.3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spans="1:25" x14ac:dyDescent="0.3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spans="1:25" x14ac:dyDescent="0.3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spans="1:25" x14ac:dyDescent="0.3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spans="1:25" x14ac:dyDescent="0.3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spans="1:25" x14ac:dyDescent="0.3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spans="1:25" x14ac:dyDescent="0.3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spans="1:25" x14ac:dyDescent="0.3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spans="1:25" x14ac:dyDescent="0.3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spans="1:25" x14ac:dyDescent="0.3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</row>
    <row r="189" spans="1:25" x14ac:dyDescent="0.3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</row>
    <row r="190" spans="1:25" x14ac:dyDescent="0.3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spans="1:25" x14ac:dyDescent="0.3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spans="1:25" x14ac:dyDescent="0.3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spans="18:25" x14ac:dyDescent="0.35">
      <c r="R193" s="15"/>
      <c r="S193" s="15"/>
      <c r="T193" s="15"/>
      <c r="U193" s="15"/>
      <c r="V193" s="15"/>
      <c r="W193" s="15"/>
      <c r="X193" s="15"/>
      <c r="Y193" s="15"/>
    </row>
    <row r="194" spans="18:25" x14ac:dyDescent="0.35">
      <c r="R194" s="15"/>
      <c r="S194" s="15"/>
      <c r="T194" s="15"/>
      <c r="U194" s="15"/>
      <c r="V194" s="15"/>
      <c r="W194" s="15"/>
      <c r="X194" s="15"/>
      <c r="Y194" s="15"/>
    </row>
    <row r="195" spans="18:25" x14ac:dyDescent="0.35">
      <c r="R195" s="15"/>
      <c r="S195" s="15"/>
      <c r="T195" s="15"/>
      <c r="U195" s="15"/>
      <c r="V195" s="15"/>
      <c r="W195" s="15"/>
      <c r="X195" s="15"/>
      <c r="Y195" s="15"/>
    </row>
    <row r="196" spans="18:25" x14ac:dyDescent="0.35">
      <c r="R196" s="15"/>
      <c r="S196" s="15"/>
      <c r="T196" s="15"/>
      <c r="U196" s="15"/>
      <c r="V196" s="15"/>
      <c r="W196" s="15"/>
      <c r="X196" s="15"/>
      <c r="Y196" s="15"/>
    </row>
    <row r="197" spans="18:25" x14ac:dyDescent="0.35">
      <c r="R197" s="15"/>
      <c r="S197" s="15"/>
      <c r="T197" s="15"/>
      <c r="U197" s="15"/>
      <c r="V197" s="15"/>
      <c r="W197" s="15"/>
      <c r="X197" s="15"/>
      <c r="Y197" s="15"/>
    </row>
    <row r="198" spans="18:25" x14ac:dyDescent="0.35">
      <c r="R198" s="15"/>
      <c r="S198" s="15"/>
      <c r="T198" s="15"/>
      <c r="U198" s="15"/>
      <c r="V198" s="15"/>
      <c r="W198" s="15"/>
      <c r="X198" s="15"/>
      <c r="Y198" s="15"/>
    </row>
    <row r="199" spans="18:25" x14ac:dyDescent="0.35">
      <c r="R199" s="15"/>
      <c r="S199" s="15"/>
      <c r="T199" s="15"/>
      <c r="U199" s="15"/>
      <c r="V199" s="15"/>
      <c r="W199" s="15"/>
      <c r="X199" s="15"/>
      <c r="Y199" s="15"/>
    </row>
    <row r="200" spans="18:25" x14ac:dyDescent="0.35">
      <c r="R200" s="15"/>
      <c r="S200" s="15"/>
      <c r="T200" s="15"/>
      <c r="U200" s="15"/>
      <c r="V200" s="15"/>
      <c r="W200" s="15"/>
      <c r="X200" s="15"/>
      <c r="Y200" s="15"/>
    </row>
    <row r="201" spans="18:25" x14ac:dyDescent="0.35">
      <c r="R201" s="15"/>
      <c r="S201" s="15"/>
      <c r="T201" s="15"/>
      <c r="U201" s="15"/>
      <c r="V201" s="15"/>
      <c r="W201" s="15"/>
      <c r="X201" s="15"/>
      <c r="Y201" s="15"/>
    </row>
    <row r="202" spans="18:25" x14ac:dyDescent="0.35">
      <c r="R202" s="15"/>
      <c r="S202" s="15"/>
      <c r="T202" s="15"/>
      <c r="U202" s="15"/>
      <c r="V202" s="15"/>
      <c r="W202" s="15"/>
      <c r="X202" s="15"/>
      <c r="Y202" s="15"/>
    </row>
    <row r="203" spans="18:25" x14ac:dyDescent="0.35">
      <c r="R203" s="15"/>
      <c r="S203" s="15"/>
      <c r="T203" s="15"/>
      <c r="U203" s="15"/>
      <c r="V203" s="15"/>
      <c r="W203" s="15"/>
      <c r="X203" s="15"/>
      <c r="Y203" s="15"/>
    </row>
    <row r="204" spans="18:25" x14ac:dyDescent="0.35">
      <c r="R204" s="15"/>
      <c r="S204" s="15"/>
      <c r="T204" s="15"/>
      <c r="U204" s="15"/>
      <c r="V204" s="15"/>
      <c r="W204" s="15"/>
      <c r="X204" s="15"/>
      <c r="Y204" s="15"/>
    </row>
    <row r="205" spans="18:25" x14ac:dyDescent="0.35">
      <c r="R205" s="15"/>
      <c r="S205" s="15"/>
      <c r="T205" s="15"/>
      <c r="U205" s="15"/>
      <c r="V205" s="15"/>
      <c r="W205" s="15"/>
      <c r="X205" s="15"/>
      <c r="Y205" s="15"/>
    </row>
    <row r="206" spans="18:25" x14ac:dyDescent="0.35">
      <c r="R206" s="15"/>
      <c r="S206" s="15"/>
      <c r="T206" s="15"/>
      <c r="U206" s="15"/>
      <c r="V206" s="15"/>
      <c r="W206" s="15"/>
      <c r="X206" s="15"/>
      <c r="Y206" s="15"/>
    </row>
    <row r="207" spans="18:25" x14ac:dyDescent="0.35">
      <c r="R207" s="15"/>
      <c r="S207" s="15"/>
      <c r="T207" s="15"/>
      <c r="U207" s="15"/>
      <c r="V207" s="15"/>
      <c r="W207" s="15"/>
      <c r="X207" s="15"/>
      <c r="Y207" s="15"/>
    </row>
    <row r="208" spans="18:25" x14ac:dyDescent="0.35">
      <c r="R208" s="15"/>
      <c r="S208" s="15"/>
      <c r="T208" s="15"/>
      <c r="U208" s="15"/>
      <c r="V208" s="15"/>
      <c r="W208" s="15"/>
      <c r="X208" s="15"/>
      <c r="Y208" s="15"/>
    </row>
    <row r="209" spans="18:25" x14ac:dyDescent="0.35">
      <c r="R209" s="15"/>
      <c r="S209" s="15"/>
      <c r="T209" s="15"/>
      <c r="U209" s="15"/>
      <c r="V209" s="15"/>
      <c r="W209" s="15"/>
      <c r="X209" s="15"/>
      <c r="Y209" s="15"/>
    </row>
    <row r="210" spans="18:25" x14ac:dyDescent="0.35">
      <c r="R210" s="15"/>
      <c r="S210" s="15"/>
      <c r="T210" s="15"/>
      <c r="U210" s="15"/>
      <c r="V210" s="15"/>
      <c r="W210" s="15"/>
      <c r="X210" s="15"/>
      <c r="Y210" s="15"/>
    </row>
    <row r="211" spans="18:25" x14ac:dyDescent="0.35">
      <c r="R211" s="15"/>
      <c r="S211" s="15"/>
      <c r="T211" s="15"/>
      <c r="U211" s="15"/>
      <c r="V211" s="15"/>
      <c r="W211" s="15"/>
      <c r="X211" s="15"/>
      <c r="Y211" s="15"/>
    </row>
    <row r="212" spans="18:25" x14ac:dyDescent="0.35">
      <c r="R212" s="15"/>
      <c r="S212" s="15"/>
      <c r="T212" s="15"/>
      <c r="U212" s="15"/>
      <c r="V212" s="15"/>
      <c r="W212" s="15"/>
      <c r="X212" s="15"/>
      <c r="Y212" s="15"/>
    </row>
    <row r="213" spans="18:25" x14ac:dyDescent="0.35">
      <c r="R213" s="15"/>
      <c r="S213" s="15"/>
      <c r="T213" s="15"/>
      <c r="U213" s="15"/>
      <c r="V213" s="15"/>
      <c r="W213" s="15"/>
      <c r="X213" s="15"/>
      <c r="Y213" s="15"/>
    </row>
    <row r="214" spans="18:25" x14ac:dyDescent="0.35">
      <c r="R214" s="15"/>
      <c r="S214" s="15"/>
      <c r="T214" s="15"/>
      <c r="U214" s="15"/>
      <c r="V214" s="15"/>
      <c r="W214" s="15"/>
      <c r="X214" s="15"/>
      <c r="Y214" s="15"/>
    </row>
    <row r="215" spans="18:25" x14ac:dyDescent="0.35">
      <c r="R215" s="15"/>
      <c r="S215" s="15"/>
      <c r="T215" s="15"/>
      <c r="U215" s="15"/>
      <c r="V215" s="15"/>
      <c r="W215" s="15"/>
      <c r="X215" s="15"/>
      <c r="Y215" s="15"/>
    </row>
  </sheetData>
  <protectedRanges>
    <protectedRange password="C797" sqref="Q4 A26:H27 M27:R27 M26 P26:R26 A90:S124 A32:H89 M32:M89 P28:R28 P29:P89 A28:N31" name="Диапазон1"/>
    <protectedRange password="C797" sqref="I32:L89" name="Диапазон1_1"/>
    <protectedRange password="C797" sqref="N32:N89" name="Диапазон1_2"/>
    <protectedRange password="C797" sqref="R89:S89 R29:R88" name="Диапазон1_3"/>
    <protectedRange password="C797" sqref="O42:O52 O54:O64 O66:O76 O78:O88 O28:O40" name="Диапазон1_1_1"/>
    <protectedRange password="C797" sqref="S26:S88" name="Диапазон1_2_1"/>
  </protectedRanges>
  <mergeCells count="25">
    <mergeCell ref="D20:F20"/>
    <mergeCell ref="A1:R1"/>
    <mergeCell ref="H3:M3"/>
    <mergeCell ref="H4:M4"/>
    <mergeCell ref="H5:Q5"/>
    <mergeCell ref="H6:M6"/>
    <mergeCell ref="P7:Q7"/>
    <mergeCell ref="P8:Q8"/>
    <mergeCell ref="P9:Q9"/>
    <mergeCell ref="P18:Q18"/>
    <mergeCell ref="I26:L26"/>
    <mergeCell ref="H10:M10"/>
    <mergeCell ref="P10:Q10"/>
    <mergeCell ref="H11:M11"/>
    <mergeCell ref="P11:Q11"/>
    <mergeCell ref="H12:H16"/>
    <mergeCell ref="P12:Q12"/>
    <mergeCell ref="P13:Q13"/>
    <mergeCell ref="N14:O14"/>
    <mergeCell ref="N15:O15"/>
    <mergeCell ref="P16:Q16"/>
    <mergeCell ref="N17:O17"/>
    <mergeCell ref="P17:Q17"/>
    <mergeCell ref="H17:H18"/>
    <mergeCell ref="N18:O18"/>
  </mergeCells>
  <dataValidations count="2">
    <dataValidation type="list" allowBlank="1" showInputMessage="1" showErrorMessage="1" sqref="M21:P21">
      <formula1>$AB$7:$AB$8</formula1>
    </dataValidation>
    <dataValidation type="list" allowBlank="1" showInputMessage="1" showErrorMessage="1" sqref="R8:S8">
      <formula1>$U$8:$U$9</formula1>
    </dataValidation>
  </dataValidations>
  <pageMargins left="0.7" right="0.7" top="0.75" bottom="0.75" header="0.3" footer="0.3"/>
  <ignoredErrors>
    <ignoredError sqref="F4:F6 D9" unlockedFormula="1"/>
  </ignoredError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0"/>
  <sheetViews>
    <sheetView workbookViewId="0">
      <selection activeCell="H210" sqref="H210"/>
    </sheetView>
  </sheetViews>
  <sheetFormatPr defaultColWidth="9.1796875" defaultRowHeight="14.5" x14ac:dyDescent="0.35"/>
  <cols>
    <col min="1" max="1" width="12.54296875" style="5" customWidth="1"/>
    <col min="2" max="2" width="10.453125" style="5" bestFit="1" customWidth="1"/>
    <col min="3" max="3" width="9.1796875" style="5"/>
    <col min="4" max="4" width="14.26953125" style="5" bestFit="1" customWidth="1"/>
    <col min="5" max="5" width="14.453125" style="5" customWidth="1"/>
    <col min="6" max="6" width="15" style="5" customWidth="1"/>
    <col min="7" max="7" width="14.26953125" style="5" customWidth="1"/>
    <col min="8" max="8" width="13.1796875" style="5" bestFit="1" customWidth="1"/>
    <col min="9" max="10" width="13.1796875" style="5" customWidth="1"/>
    <col min="11" max="15" width="15" style="5" customWidth="1"/>
    <col min="16" max="16" width="11.81640625" style="5" customWidth="1"/>
    <col min="17" max="17" width="16.26953125" style="5" customWidth="1"/>
    <col min="18" max="16384" width="9.1796875" style="5"/>
  </cols>
  <sheetData>
    <row r="1" spans="1:17" x14ac:dyDescent="0.35">
      <c r="A1" s="26" t="s">
        <v>78</v>
      </c>
    </row>
    <row r="2" spans="1:17" ht="33.75" customHeight="1" x14ac:dyDescent="0.35">
      <c r="A2" s="350" t="s">
        <v>117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</row>
    <row r="4" spans="1:17" x14ac:dyDescent="0.35">
      <c r="A4" s="80" t="s">
        <v>79</v>
      </c>
      <c r="B4" s="80"/>
      <c r="C4" s="131"/>
      <c r="D4" s="131"/>
      <c r="E4" s="351"/>
      <c r="F4" s="351"/>
      <c r="G4" s="29"/>
      <c r="H4" s="32"/>
      <c r="I4" s="32"/>
      <c r="J4" s="32"/>
      <c r="K4" s="32"/>
      <c r="L4" s="32"/>
      <c r="M4" s="32"/>
      <c r="N4" s="32"/>
      <c r="O4" s="28" t="s">
        <v>149</v>
      </c>
      <c r="P4" s="28"/>
      <c r="Q4" s="178"/>
    </row>
    <row r="5" spans="1:17" ht="15" customHeight="1" x14ac:dyDescent="0.35">
      <c r="A5" s="80" t="s">
        <v>80</v>
      </c>
      <c r="B5" s="80"/>
      <c r="C5" s="131"/>
      <c r="D5" s="131"/>
      <c r="E5" s="351"/>
      <c r="F5" s="351"/>
      <c r="G5" s="29"/>
      <c r="H5" s="32"/>
      <c r="I5" s="32"/>
      <c r="J5" s="32"/>
      <c r="K5" s="32"/>
      <c r="L5" s="32"/>
      <c r="M5" s="32"/>
      <c r="N5" s="32"/>
      <c r="O5" s="356" t="s">
        <v>81</v>
      </c>
      <c r="P5" s="357"/>
      <c r="Q5" s="352">
        <f>H29</f>
        <v>10000</v>
      </c>
    </row>
    <row r="6" spans="1:17" ht="23.25" customHeight="1" x14ac:dyDescent="0.35">
      <c r="A6" s="27" t="s">
        <v>82</v>
      </c>
      <c r="B6" s="27"/>
      <c r="C6" s="27"/>
      <c r="D6" s="27"/>
      <c r="E6" s="354">
        <f>графік!F7</f>
        <v>1000000</v>
      </c>
      <c r="F6" s="355"/>
      <c r="G6" s="35"/>
      <c r="H6" s="36"/>
      <c r="I6" s="36"/>
      <c r="J6" s="36"/>
      <c r="K6" s="36"/>
      <c r="L6" s="36"/>
      <c r="M6" s="36"/>
      <c r="N6" s="36"/>
      <c r="O6" s="358"/>
      <c r="P6" s="359"/>
      <c r="Q6" s="353"/>
    </row>
    <row r="7" spans="1:17" ht="15" hidden="1" customHeight="1" x14ac:dyDescent="0.35">
      <c r="A7" s="27" t="s">
        <v>83</v>
      </c>
      <c r="B7" s="27"/>
      <c r="C7" s="27"/>
      <c r="D7" s="27"/>
      <c r="E7" s="390">
        <f>графік!F6</f>
        <v>0.5</v>
      </c>
      <c r="F7" s="390"/>
      <c r="G7" s="35"/>
      <c r="H7" s="36"/>
      <c r="I7" s="36"/>
      <c r="J7" s="36"/>
      <c r="K7" s="36"/>
      <c r="L7" s="36"/>
      <c r="M7" s="36"/>
      <c r="N7" s="36"/>
      <c r="O7" s="344" t="s">
        <v>127</v>
      </c>
      <c r="P7" s="345"/>
      <c r="Q7" s="340">
        <f>I29</f>
        <v>0</v>
      </c>
    </row>
    <row r="8" spans="1:17" x14ac:dyDescent="0.35">
      <c r="A8" s="27" t="s">
        <v>84</v>
      </c>
      <c r="B8" s="27"/>
      <c r="C8" s="27"/>
      <c r="D8" s="27"/>
      <c r="E8" s="391">
        <f ca="1">графік!C28</f>
        <v>44228</v>
      </c>
      <c r="F8" s="392"/>
      <c r="G8" s="37"/>
      <c r="H8" s="36"/>
      <c r="I8" s="36"/>
      <c r="J8" s="36"/>
      <c r="K8" s="36"/>
      <c r="L8" s="36"/>
      <c r="M8" s="36"/>
      <c r="N8" s="36"/>
      <c r="O8" s="346"/>
      <c r="P8" s="347"/>
      <c r="Q8" s="341"/>
    </row>
    <row r="9" spans="1:17" x14ac:dyDescent="0.35">
      <c r="A9" s="27" t="s">
        <v>85</v>
      </c>
      <c r="B9" s="27"/>
      <c r="C9" s="27"/>
      <c r="D9" s="27"/>
      <c r="E9" s="391">
        <f ca="1">EDATE(E8,графік!F8)-1</f>
        <v>46053</v>
      </c>
      <c r="F9" s="392"/>
      <c r="G9" s="29"/>
      <c r="H9" s="32"/>
      <c r="I9" s="32"/>
      <c r="J9" s="32"/>
      <c r="K9" s="32"/>
      <c r="L9" s="32"/>
      <c r="M9" s="32"/>
      <c r="N9" s="32"/>
      <c r="O9" s="348" t="s">
        <v>138</v>
      </c>
      <c r="P9" s="349"/>
      <c r="Q9" s="179">
        <f>графік!P18</f>
        <v>12181</v>
      </c>
    </row>
    <row r="10" spans="1:17" x14ac:dyDescent="0.35">
      <c r="A10" s="27"/>
      <c r="B10" s="27"/>
      <c r="C10" s="27"/>
      <c r="D10" s="27"/>
      <c r="E10" s="33"/>
      <c r="F10" s="34"/>
      <c r="G10" s="35"/>
      <c r="H10" s="36"/>
      <c r="I10" s="36"/>
      <c r="J10" s="36"/>
      <c r="K10" s="36"/>
      <c r="L10" s="36"/>
      <c r="M10" s="36"/>
      <c r="N10" s="36"/>
      <c r="O10" s="336" t="s">
        <v>133</v>
      </c>
      <c r="P10" s="337"/>
      <c r="Q10" s="340">
        <f>L29+M29+N29+O29</f>
        <v>59900</v>
      </c>
    </row>
    <row r="11" spans="1:17" x14ac:dyDescent="0.35">
      <c r="A11" s="27" t="s">
        <v>86</v>
      </c>
      <c r="B11" s="27"/>
      <c r="C11" s="27"/>
      <c r="D11" s="27"/>
      <c r="E11" s="393">
        <f>графік!F8</f>
        <v>60</v>
      </c>
      <c r="F11" s="393"/>
      <c r="G11" s="35"/>
      <c r="H11" s="36"/>
      <c r="I11" s="36"/>
      <c r="J11" s="36"/>
      <c r="K11" s="36"/>
      <c r="L11" s="36"/>
      <c r="M11" s="36"/>
      <c r="N11" s="36"/>
      <c r="O11" s="338"/>
      <c r="P11" s="339"/>
      <c r="Q11" s="341"/>
    </row>
    <row r="12" spans="1:17" x14ac:dyDescent="0.35">
      <c r="A12" s="27"/>
      <c r="B12" s="27"/>
      <c r="C12" s="27"/>
      <c r="D12" s="27"/>
      <c r="E12" s="33"/>
      <c r="F12" s="34"/>
      <c r="G12" s="37"/>
      <c r="H12" s="36"/>
      <c r="I12" s="36"/>
      <c r="J12" s="36"/>
      <c r="K12" s="36"/>
      <c r="L12" s="36"/>
      <c r="M12" s="36"/>
      <c r="N12" s="36"/>
      <c r="O12" s="36"/>
      <c r="P12" s="38"/>
      <c r="Q12" s="39"/>
    </row>
    <row r="13" spans="1:17" x14ac:dyDescent="0.35">
      <c r="A13" s="27" t="s">
        <v>87</v>
      </c>
      <c r="B13" s="27"/>
      <c r="C13" s="27"/>
      <c r="D13" s="27"/>
      <c r="E13" s="383" t="s">
        <v>88</v>
      </c>
      <c r="F13" s="383"/>
      <c r="G13" s="35"/>
      <c r="H13" s="36"/>
      <c r="I13" s="36"/>
      <c r="J13" s="36"/>
      <c r="K13" s="36"/>
      <c r="L13" s="36"/>
      <c r="M13" s="36"/>
      <c r="N13" s="36"/>
      <c r="O13" s="36"/>
      <c r="P13" s="40"/>
      <c r="Q13" s="40"/>
    </row>
    <row r="14" spans="1:17" x14ac:dyDescent="0.35">
      <c r="A14" s="27" t="s">
        <v>89</v>
      </c>
      <c r="B14" s="27"/>
      <c r="C14" s="27"/>
      <c r="D14" s="27"/>
      <c r="E14" s="383" t="s">
        <v>90</v>
      </c>
      <c r="F14" s="383"/>
      <c r="G14" s="35"/>
      <c r="H14" s="30"/>
      <c r="I14" s="30"/>
      <c r="J14" s="30"/>
      <c r="K14" s="30"/>
      <c r="L14" s="30"/>
      <c r="M14" s="30"/>
      <c r="N14" s="30"/>
      <c r="O14" s="30"/>
      <c r="P14" s="31"/>
      <c r="Q14" s="31"/>
    </row>
    <row r="15" spans="1:17" hidden="1" x14ac:dyDescent="0.35">
      <c r="A15" s="384" t="s">
        <v>91</v>
      </c>
      <c r="B15" s="384"/>
      <c r="C15" s="384"/>
      <c r="D15" s="384"/>
      <c r="E15" s="384"/>
      <c r="F15" s="384"/>
      <c r="G15" s="41"/>
      <c r="H15" s="30"/>
      <c r="I15" s="30"/>
      <c r="J15" s="30"/>
      <c r="K15" s="30"/>
      <c r="L15" s="30"/>
      <c r="M15" s="30"/>
      <c r="N15" s="30"/>
      <c r="O15" s="30"/>
      <c r="P15" s="31"/>
      <c r="Q15" s="31"/>
    </row>
    <row r="16" spans="1:17" hidden="1" x14ac:dyDescent="0.35">
      <c r="A16" s="385" t="s">
        <v>92</v>
      </c>
      <c r="B16" s="386"/>
      <c r="C16" s="42"/>
      <c r="D16" s="42"/>
      <c r="E16" s="42" t="s">
        <v>93</v>
      </c>
      <c r="F16" s="43" t="s">
        <v>94</v>
      </c>
      <c r="G16" s="43" t="s">
        <v>95</v>
      </c>
      <c r="H16" s="44"/>
      <c r="I16" s="44"/>
      <c r="J16" s="44"/>
      <c r="K16" s="44"/>
      <c r="L16" s="44"/>
      <c r="M16" s="44"/>
      <c r="N16" s="44"/>
      <c r="O16" s="44"/>
      <c r="P16" s="31"/>
      <c r="Q16" s="31"/>
    </row>
    <row r="17" spans="1:17" hidden="1" x14ac:dyDescent="0.35">
      <c r="A17" s="387" t="str">
        <f xml:space="preserve"> IF(E11&gt;60,графік!D20," ")</f>
        <v xml:space="preserve"> </v>
      </c>
      <c r="B17" s="386"/>
      <c r="C17" s="42"/>
      <c r="D17" s="42"/>
      <c r="E17" s="124" t="str">
        <f>IF(E11&gt;60,графік!F24," ")</f>
        <v xml:space="preserve"> </v>
      </c>
      <c r="F17" s="125" t="str">
        <f>IF(E11&gt;60,графік!F22," ")</f>
        <v xml:space="preserve"> </v>
      </c>
      <c r="G17" s="125" t="str">
        <f>IF(E11&gt;60,графік!F21," ")</f>
        <v xml:space="preserve"> </v>
      </c>
      <c r="H17" s="44"/>
      <c r="I17" s="44"/>
      <c r="J17" s="44"/>
      <c r="K17" s="44"/>
      <c r="L17" s="44"/>
      <c r="M17" s="44"/>
      <c r="N17" s="44"/>
      <c r="O17" s="44"/>
      <c r="P17" s="46"/>
      <c r="Q17" s="46"/>
    </row>
    <row r="18" spans="1:17" hidden="1" x14ac:dyDescent="0.35">
      <c r="A18" s="47" t="s">
        <v>101</v>
      </c>
      <c r="B18" s="45"/>
      <c r="C18" s="45"/>
      <c r="D18" s="45"/>
      <c r="E18" s="45"/>
      <c r="F18" s="45"/>
      <c r="G18" s="45"/>
      <c r="H18" s="48"/>
      <c r="I18" s="48"/>
      <c r="J18" s="48"/>
      <c r="K18" s="48"/>
      <c r="L18" s="48"/>
      <c r="M18" s="48"/>
      <c r="N18" s="48"/>
      <c r="O18" s="48"/>
      <c r="P18" s="45"/>
      <c r="Q18" s="45"/>
    </row>
    <row r="19" spans="1:17" hidden="1" x14ac:dyDescent="0.35">
      <c r="A19" s="49"/>
      <c r="B19" s="49"/>
      <c r="C19" s="49"/>
      <c r="D19" s="49"/>
      <c r="E19" s="49"/>
      <c r="F19" s="49"/>
      <c r="G19" s="45"/>
      <c r="H19" s="50"/>
      <c r="I19" s="50"/>
      <c r="J19" s="50"/>
      <c r="K19" s="50"/>
      <c r="L19" s="50"/>
      <c r="M19" s="50"/>
      <c r="N19" s="50"/>
      <c r="O19" s="50"/>
      <c r="P19" s="51"/>
      <c r="Q19" s="51"/>
    </row>
    <row r="20" spans="1:17" x14ac:dyDescent="0.35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4"/>
      <c r="Q20" s="54"/>
    </row>
    <row r="21" spans="1:17" ht="24" customHeight="1" x14ac:dyDescent="0.35">
      <c r="A21" s="388" t="s">
        <v>62</v>
      </c>
      <c r="B21" s="342" t="s">
        <v>63</v>
      </c>
      <c r="C21" s="363" t="s">
        <v>64</v>
      </c>
      <c r="D21" s="363" t="s">
        <v>65</v>
      </c>
      <c r="E21" s="389" t="s">
        <v>96</v>
      </c>
      <c r="F21" s="369" t="s">
        <v>97</v>
      </c>
      <c r="G21" s="370"/>
      <c r="H21" s="370"/>
      <c r="I21" s="370"/>
      <c r="J21" s="370"/>
      <c r="K21" s="396"/>
      <c r="L21" s="372" t="s">
        <v>148</v>
      </c>
      <c r="M21" s="373"/>
      <c r="N21" s="176"/>
      <c r="O21" s="177"/>
      <c r="P21" s="342" t="s">
        <v>66</v>
      </c>
      <c r="Q21" s="360" t="s">
        <v>98</v>
      </c>
    </row>
    <row r="22" spans="1:17" ht="15" customHeight="1" x14ac:dyDescent="0.35">
      <c r="A22" s="388"/>
      <c r="B22" s="342"/>
      <c r="C22" s="363"/>
      <c r="D22" s="363"/>
      <c r="E22" s="389"/>
      <c r="F22" s="362" t="s">
        <v>67</v>
      </c>
      <c r="G22" s="364" t="s">
        <v>68</v>
      </c>
      <c r="H22" s="364" t="s">
        <v>99</v>
      </c>
      <c r="I22" s="361" t="s">
        <v>139</v>
      </c>
      <c r="J22" s="380" t="s">
        <v>138</v>
      </c>
      <c r="K22" s="394" t="s">
        <v>123</v>
      </c>
      <c r="L22" s="374" t="s">
        <v>134</v>
      </c>
      <c r="M22" s="361" t="s">
        <v>135</v>
      </c>
      <c r="N22" s="378" t="s">
        <v>136</v>
      </c>
      <c r="O22" s="361" t="s">
        <v>137</v>
      </c>
      <c r="P22" s="343"/>
      <c r="Q22" s="360"/>
    </row>
    <row r="23" spans="1:17" x14ac:dyDescent="0.35">
      <c r="A23" s="388"/>
      <c r="B23" s="342"/>
      <c r="C23" s="363"/>
      <c r="D23" s="363"/>
      <c r="E23" s="389"/>
      <c r="F23" s="363"/>
      <c r="G23" s="342"/>
      <c r="H23" s="342"/>
      <c r="I23" s="376"/>
      <c r="J23" s="381"/>
      <c r="K23" s="363"/>
      <c r="L23" s="342"/>
      <c r="M23" s="376"/>
      <c r="N23" s="343"/>
      <c r="O23" s="376"/>
      <c r="P23" s="343"/>
      <c r="Q23" s="360"/>
    </row>
    <row r="24" spans="1:17" x14ac:dyDescent="0.35">
      <c r="A24" s="388"/>
      <c r="B24" s="342"/>
      <c r="C24" s="363"/>
      <c r="D24" s="363"/>
      <c r="E24" s="389"/>
      <c r="F24" s="363"/>
      <c r="G24" s="342"/>
      <c r="H24" s="342"/>
      <c r="I24" s="376"/>
      <c r="J24" s="381"/>
      <c r="K24" s="363"/>
      <c r="L24" s="342"/>
      <c r="M24" s="376"/>
      <c r="N24" s="343"/>
      <c r="O24" s="376"/>
      <c r="P24" s="343"/>
      <c r="Q24" s="360"/>
    </row>
    <row r="25" spans="1:17" x14ac:dyDescent="0.35">
      <c r="A25" s="388"/>
      <c r="B25" s="342"/>
      <c r="C25" s="363"/>
      <c r="D25" s="363"/>
      <c r="E25" s="389"/>
      <c r="F25" s="363"/>
      <c r="G25" s="342"/>
      <c r="H25" s="342"/>
      <c r="I25" s="376"/>
      <c r="J25" s="381"/>
      <c r="K25" s="363"/>
      <c r="L25" s="342"/>
      <c r="M25" s="376"/>
      <c r="N25" s="343"/>
      <c r="O25" s="376"/>
      <c r="P25" s="343"/>
      <c r="Q25" s="360"/>
    </row>
    <row r="26" spans="1:17" x14ac:dyDescent="0.35">
      <c r="A26" s="388"/>
      <c r="B26" s="342"/>
      <c r="C26" s="363"/>
      <c r="D26" s="363"/>
      <c r="E26" s="389"/>
      <c r="F26" s="363"/>
      <c r="G26" s="342"/>
      <c r="H26" s="342"/>
      <c r="I26" s="376"/>
      <c r="J26" s="381"/>
      <c r="K26" s="363"/>
      <c r="L26" s="342"/>
      <c r="M26" s="376"/>
      <c r="N26" s="343"/>
      <c r="O26" s="376"/>
      <c r="P26" s="343"/>
      <c r="Q26" s="360"/>
    </row>
    <row r="27" spans="1:17" x14ac:dyDescent="0.35">
      <c r="A27" s="388"/>
      <c r="B27" s="342"/>
      <c r="C27" s="363"/>
      <c r="D27" s="363"/>
      <c r="E27" s="389"/>
      <c r="F27" s="363"/>
      <c r="G27" s="342"/>
      <c r="H27" s="342"/>
      <c r="I27" s="376"/>
      <c r="J27" s="381"/>
      <c r="K27" s="363"/>
      <c r="L27" s="342"/>
      <c r="M27" s="376"/>
      <c r="N27" s="343"/>
      <c r="O27" s="376"/>
      <c r="P27" s="343"/>
      <c r="Q27" s="360"/>
    </row>
    <row r="28" spans="1:17" x14ac:dyDescent="0.35">
      <c r="A28" s="388"/>
      <c r="B28" s="342"/>
      <c r="C28" s="363"/>
      <c r="D28" s="363"/>
      <c r="E28" s="389"/>
      <c r="F28" s="363"/>
      <c r="G28" s="342"/>
      <c r="H28" s="55"/>
      <c r="I28" s="377"/>
      <c r="J28" s="382"/>
      <c r="K28" s="395"/>
      <c r="L28" s="375"/>
      <c r="M28" s="377"/>
      <c r="N28" s="379"/>
      <c r="O28" s="377"/>
      <c r="P28" s="343"/>
      <c r="Q28" s="361"/>
    </row>
    <row r="29" spans="1:17" x14ac:dyDescent="0.35">
      <c r="A29" s="57"/>
      <c r="B29" s="58">
        <f ca="1">графік!C28</f>
        <v>44228</v>
      </c>
      <c r="C29" s="59"/>
      <c r="D29" s="60">
        <f>графік!E28</f>
        <v>1000000</v>
      </c>
      <c r="E29" s="61"/>
      <c r="F29" s="60"/>
      <c r="G29" s="61"/>
      <c r="H29" s="61">
        <f>графік!M28</f>
        <v>10000</v>
      </c>
      <c r="I29" s="61">
        <f>графік!N28</f>
        <v>0</v>
      </c>
      <c r="J29" s="61">
        <f>графік!O28</f>
        <v>2500</v>
      </c>
      <c r="K29" s="61">
        <f>графік!P9</f>
        <v>0</v>
      </c>
      <c r="L29" s="61">
        <f>графік!I28</f>
        <v>0</v>
      </c>
      <c r="M29" s="61">
        <f>графік!J28</f>
        <v>0</v>
      </c>
      <c r="N29" s="61">
        <f>графік!K28</f>
        <v>59900</v>
      </c>
      <c r="O29" s="61">
        <f>графік!L28</f>
        <v>0</v>
      </c>
      <c r="P29" s="65">
        <f>графік!Q28</f>
        <v>0</v>
      </c>
      <c r="Q29" s="66">
        <f>графік!R28</f>
        <v>0</v>
      </c>
    </row>
    <row r="30" spans="1:17" x14ac:dyDescent="0.35">
      <c r="A30" s="57">
        <f>графік!A29</f>
        <v>1</v>
      </c>
      <c r="B30" s="63">
        <f ca="1">графік!C29</f>
        <v>44256</v>
      </c>
      <c r="C30" s="59">
        <f ca="1">графік!D29</f>
        <v>28</v>
      </c>
      <c r="D30" s="60">
        <f>графік!E29</f>
        <v>983333.33333333337</v>
      </c>
      <c r="E30" s="61">
        <f ca="1">графік!H29</f>
        <v>16666.666666666668</v>
      </c>
      <c r="F30" s="60">
        <f>графік!F29</f>
        <v>16666.666666666668</v>
      </c>
      <c r="G30" s="61">
        <f ca="1">графік!G29</f>
        <v>0</v>
      </c>
      <c r="H30" s="64">
        <f>графік!M29</f>
        <v>0</v>
      </c>
      <c r="I30" s="64">
        <f>графік!N29</f>
        <v>0</v>
      </c>
      <c r="J30" s="64">
        <f>графік!O29</f>
        <v>0</v>
      </c>
      <c r="K30" s="64"/>
      <c r="L30" s="64">
        <f>графік!I29</f>
        <v>0</v>
      </c>
      <c r="M30" s="64">
        <f>графік!J29</f>
        <v>0</v>
      </c>
      <c r="N30" s="64">
        <f>графік!K29</f>
        <v>0</v>
      </c>
      <c r="O30" s="64">
        <f>графік!L29</f>
        <v>0</v>
      </c>
      <c r="P30" s="70" t="str">
        <f>графік!Q29</f>
        <v/>
      </c>
      <c r="Q30" s="61" t="str">
        <f t="shared" ref="Q30:Q89" ca="1" si="0">IF(B29=$E$9,E30+$K$29+$H$29+$I$29+$Q$9+$L$29+$M$29+$N$29+$O$29," ")</f>
        <v xml:space="preserve"> </v>
      </c>
    </row>
    <row r="31" spans="1:17" x14ac:dyDescent="0.35">
      <c r="A31" s="57">
        <f>графік!A30</f>
        <v>2</v>
      </c>
      <c r="B31" s="63">
        <f ca="1">графік!C30</f>
        <v>44287</v>
      </c>
      <c r="C31" s="59">
        <f ca="1">графік!D30</f>
        <v>31</v>
      </c>
      <c r="D31" s="60">
        <f>графік!E30</f>
        <v>966666.66333333333</v>
      </c>
      <c r="E31" s="61">
        <f ca="1">графік!H30</f>
        <v>16666.669999999998</v>
      </c>
      <c r="F31" s="60">
        <f>графік!F30</f>
        <v>16666.669999999998</v>
      </c>
      <c r="G31" s="61">
        <f ca="1">графік!G30</f>
        <v>0</v>
      </c>
      <c r="H31" s="64">
        <f>графік!M30</f>
        <v>0</v>
      </c>
      <c r="I31" s="64">
        <f>графік!N30</f>
        <v>0</v>
      </c>
      <c r="J31" s="64">
        <f>графік!O30</f>
        <v>0</v>
      </c>
      <c r="K31" s="64"/>
      <c r="L31" s="64">
        <f>графік!I30</f>
        <v>0</v>
      </c>
      <c r="M31" s="64">
        <f>графік!J30</f>
        <v>0</v>
      </c>
      <c r="N31" s="64">
        <f>графік!K30</f>
        <v>0</v>
      </c>
      <c r="O31" s="64">
        <f>графік!L30</f>
        <v>0</v>
      </c>
      <c r="P31" s="70" t="str">
        <f>графік!Q30</f>
        <v/>
      </c>
      <c r="Q31" s="61" t="str">
        <f t="shared" ca="1" si="0"/>
        <v xml:space="preserve"> </v>
      </c>
    </row>
    <row r="32" spans="1:17" x14ac:dyDescent="0.35">
      <c r="A32" s="57">
        <f>графік!A31</f>
        <v>3</v>
      </c>
      <c r="B32" s="63">
        <f ca="1">графік!C31</f>
        <v>44317</v>
      </c>
      <c r="C32" s="59">
        <f ca="1">графік!D31</f>
        <v>30</v>
      </c>
      <c r="D32" s="60">
        <f>графік!E31</f>
        <v>949999.99333333329</v>
      </c>
      <c r="E32" s="61">
        <f ca="1">графік!H31</f>
        <v>16666.669999999998</v>
      </c>
      <c r="F32" s="60">
        <f>графік!F31</f>
        <v>16666.669999999998</v>
      </c>
      <c r="G32" s="61">
        <f ca="1">графік!G31</f>
        <v>0</v>
      </c>
      <c r="H32" s="64">
        <f>графік!M31</f>
        <v>0</v>
      </c>
      <c r="I32" s="64">
        <f>графік!N31</f>
        <v>0</v>
      </c>
      <c r="J32" s="64">
        <f>графік!O31</f>
        <v>0</v>
      </c>
      <c r="K32" s="64"/>
      <c r="L32" s="64">
        <f>графік!I31</f>
        <v>0</v>
      </c>
      <c r="M32" s="64">
        <f>графік!J31</f>
        <v>0</v>
      </c>
      <c r="N32" s="64">
        <f>графік!K31</f>
        <v>0</v>
      </c>
      <c r="O32" s="64">
        <f>графік!L31</f>
        <v>0</v>
      </c>
      <c r="P32" s="70" t="str">
        <f>графік!Q31</f>
        <v/>
      </c>
      <c r="Q32" s="61" t="str">
        <f t="shared" ca="1" si="0"/>
        <v xml:space="preserve"> </v>
      </c>
    </row>
    <row r="33" spans="1:17" x14ac:dyDescent="0.35">
      <c r="A33" s="57">
        <f>графік!A32</f>
        <v>4</v>
      </c>
      <c r="B33" s="63">
        <f ca="1">графік!C32</f>
        <v>44348</v>
      </c>
      <c r="C33" s="59">
        <f ca="1">графік!D32</f>
        <v>31</v>
      </c>
      <c r="D33" s="60">
        <f>графік!E32</f>
        <v>933333.32333333325</v>
      </c>
      <c r="E33" s="61">
        <f ca="1">графік!H32</f>
        <v>31988.739999999998</v>
      </c>
      <c r="F33" s="60">
        <f>графік!F32</f>
        <v>16666.669999999998</v>
      </c>
      <c r="G33" s="61">
        <f ca="1">графік!G32</f>
        <v>15322.07</v>
      </c>
      <c r="H33" s="64" t="str">
        <f>графік!M32</f>
        <v/>
      </c>
      <c r="I33" s="61" t="str">
        <f>графік!N32</f>
        <v/>
      </c>
      <c r="J33" s="61" t="str">
        <f>графік!O32</f>
        <v/>
      </c>
      <c r="K33" s="64"/>
      <c r="L33" s="61" t="str">
        <f>графік!I32</f>
        <v/>
      </c>
      <c r="M33" s="61" t="str">
        <f>графік!J32</f>
        <v/>
      </c>
      <c r="N33" s="61" t="str">
        <f>графік!K32</f>
        <v/>
      </c>
      <c r="O33" s="61" t="str">
        <f>графік!L32</f>
        <v/>
      </c>
      <c r="P33" s="70" t="str">
        <f>графік!Q32</f>
        <v/>
      </c>
      <c r="Q33" s="61" t="str">
        <f t="shared" ca="1" si="0"/>
        <v xml:space="preserve"> </v>
      </c>
    </row>
    <row r="34" spans="1:17" x14ac:dyDescent="0.35">
      <c r="A34" s="57">
        <f>графік!A33</f>
        <v>5</v>
      </c>
      <c r="B34" s="63">
        <f ca="1">графік!C33</f>
        <v>44378</v>
      </c>
      <c r="C34" s="59">
        <f ca="1">графік!D33</f>
        <v>30</v>
      </c>
      <c r="D34" s="60">
        <f>графік!E33</f>
        <v>916666.6533333332</v>
      </c>
      <c r="E34" s="61">
        <f ca="1">графік!H33</f>
        <v>31234.339999999997</v>
      </c>
      <c r="F34" s="60">
        <f>графік!F33</f>
        <v>16666.669999999998</v>
      </c>
      <c r="G34" s="61">
        <f ca="1">графік!G33</f>
        <v>14567.67</v>
      </c>
      <c r="H34" s="64" t="str">
        <f>графік!M33</f>
        <v/>
      </c>
      <c r="I34" s="61" t="str">
        <f>графік!N33</f>
        <v/>
      </c>
      <c r="J34" s="61" t="str">
        <f>графік!O33</f>
        <v/>
      </c>
      <c r="K34" s="64"/>
      <c r="L34" s="61" t="str">
        <f>графік!I33</f>
        <v/>
      </c>
      <c r="M34" s="61" t="str">
        <f>графік!J33</f>
        <v/>
      </c>
      <c r="N34" s="61" t="str">
        <f>графік!K33</f>
        <v/>
      </c>
      <c r="O34" s="61" t="str">
        <f>графік!L33</f>
        <v/>
      </c>
      <c r="P34" s="70" t="str">
        <f>графік!Q33</f>
        <v/>
      </c>
      <c r="Q34" s="61" t="str">
        <f t="shared" ca="1" si="0"/>
        <v xml:space="preserve"> </v>
      </c>
    </row>
    <row r="35" spans="1:17" x14ac:dyDescent="0.35">
      <c r="A35" s="57">
        <f>графік!A34</f>
        <v>6</v>
      </c>
      <c r="B35" s="63">
        <f ca="1">графік!C34</f>
        <v>44409</v>
      </c>
      <c r="C35" s="59">
        <f ca="1">графік!D34</f>
        <v>31</v>
      </c>
      <c r="D35" s="60">
        <f>графік!E34</f>
        <v>899999.98333333316</v>
      </c>
      <c r="E35" s="61">
        <f ca="1">графік!H34</f>
        <v>31451.119999999999</v>
      </c>
      <c r="F35" s="60">
        <f>графік!F34</f>
        <v>16666.669999999998</v>
      </c>
      <c r="G35" s="61">
        <f ca="1">графік!G34</f>
        <v>14784.45</v>
      </c>
      <c r="H35" s="64" t="str">
        <f>графік!M34</f>
        <v/>
      </c>
      <c r="I35" s="61" t="str">
        <f>графік!N34</f>
        <v/>
      </c>
      <c r="J35" s="61" t="str">
        <f>графік!O34</f>
        <v/>
      </c>
      <c r="K35" s="64"/>
      <c r="L35" s="61" t="str">
        <f>графік!I34</f>
        <v/>
      </c>
      <c r="M35" s="61" t="str">
        <f>графік!J34</f>
        <v/>
      </c>
      <c r="N35" s="61" t="str">
        <f>графік!K34</f>
        <v/>
      </c>
      <c r="O35" s="61" t="str">
        <f>графік!L34</f>
        <v/>
      </c>
      <c r="P35" s="70" t="str">
        <f>графік!Q34</f>
        <v/>
      </c>
      <c r="Q35" s="61" t="str">
        <f t="shared" ca="1" si="0"/>
        <v xml:space="preserve"> </v>
      </c>
    </row>
    <row r="36" spans="1:17" x14ac:dyDescent="0.35">
      <c r="A36" s="57">
        <f>графік!A35</f>
        <v>7</v>
      </c>
      <c r="B36" s="63">
        <f ca="1">графік!C35</f>
        <v>44440</v>
      </c>
      <c r="C36" s="59">
        <f ca="1">графік!D35</f>
        <v>31</v>
      </c>
      <c r="D36" s="60">
        <f>графік!E35</f>
        <v>883333.31333333312</v>
      </c>
      <c r="E36" s="61">
        <f ca="1">графік!H35</f>
        <v>31182.309999999998</v>
      </c>
      <c r="F36" s="60">
        <f>графік!F35</f>
        <v>16666.669999999998</v>
      </c>
      <c r="G36" s="61">
        <f ca="1">графік!G35</f>
        <v>14515.64</v>
      </c>
      <c r="H36" s="64">
        <f>графік!M35</f>
        <v>0</v>
      </c>
      <c r="I36" s="61" t="str">
        <f>графік!N35</f>
        <v/>
      </c>
      <c r="J36" s="61" t="str">
        <f>графік!O35</f>
        <v/>
      </c>
      <c r="K36" s="64"/>
      <c r="L36" s="61" t="str">
        <f>графік!I35</f>
        <v/>
      </c>
      <c r="M36" s="61" t="str">
        <f>графік!J35</f>
        <v/>
      </c>
      <c r="N36" s="61" t="str">
        <f>графік!K35</f>
        <v/>
      </c>
      <c r="O36" s="61" t="str">
        <f>графік!L35</f>
        <v/>
      </c>
      <c r="P36" s="70" t="str">
        <f>графік!Q35</f>
        <v/>
      </c>
      <c r="Q36" s="61" t="str">
        <f t="shared" ca="1" si="0"/>
        <v xml:space="preserve"> </v>
      </c>
    </row>
    <row r="37" spans="1:17" x14ac:dyDescent="0.35">
      <c r="A37" s="57">
        <f>графік!A36</f>
        <v>8</v>
      </c>
      <c r="B37" s="63">
        <f ca="1">графік!C36</f>
        <v>44470</v>
      </c>
      <c r="C37" s="59">
        <f ca="1">графік!D36</f>
        <v>30</v>
      </c>
      <c r="D37" s="60">
        <f>графік!E36</f>
        <v>866666.64333333308</v>
      </c>
      <c r="E37" s="61">
        <f ca="1">графік!H36</f>
        <v>30453.93</v>
      </c>
      <c r="F37" s="60">
        <f>графік!F36</f>
        <v>16666.669999999998</v>
      </c>
      <c r="G37" s="61">
        <f ca="1">графік!G36</f>
        <v>13787.26</v>
      </c>
      <c r="H37" s="61" t="str">
        <f>графік!M36</f>
        <v/>
      </c>
      <c r="I37" s="61" t="str">
        <f>графік!N36</f>
        <v/>
      </c>
      <c r="J37" s="61" t="str">
        <f>графік!O36</f>
        <v/>
      </c>
      <c r="K37" s="61"/>
      <c r="L37" s="61" t="str">
        <f>графік!I36</f>
        <v/>
      </c>
      <c r="M37" s="61" t="str">
        <f>графік!J36</f>
        <v/>
      </c>
      <c r="N37" s="61" t="str">
        <f>графік!K36</f>
        <v/>
      </c>
      <c r="O37" s="61" t="str">
        <f>графік!L36</f>
        <v/>
      </c>
      <c r="P37" s="70" t="str">
        <f>графік!Q36</f>
        <v/>
      </c>
      <c r="Q37" s="61" t="str">
        <f t="shared" ca="1" si="0"/>
        <v xml:space="preserve"> </v>
      </c>
    </row>
    <row r="38" spans="1:17" x14ac:dyDescent="0.35">
      <c r="A38" s="57">
        <f>графік!A37</f>
        <v>9</v>
      </c>
      <c r="B38" s="63">
        <f ca="1">графік!C37</f>
        <v>44501</v>
      </c>
      <c r="C38" s="59">
        <f ca="1">графік!D37</f>
        <v>31</v>
      </c>
      <c r="D38" s="60">
        <f>графік!E37</f>
        <v>849999.97333333304</v>
      </c>
      <c r="E38" s="61">
        <f ca="1">графік!H37</f>
        <v>30644.699999999997</v>
      </c>
      <c r="F38" s="60">
        <f>графік!F37</f>
        <v>16666.669999999998</v>
      </c>
      <c r="G38" s="61">
        <f ca="1">графік!G37</f>
        <v>13978.03</v>
      </c>
      <c r="H38" s="61" t="str">
        <f>графік!M37</f>
        <v/>
      </c>
      <c r="I38" s="61" t="str">
        <f>графік!N37</f>
        <v/>
      </c>
      <c r="J38" s="61" t="str">
        <f>графік!O37</f>
        <v/>
      </c>
      <c r="K38" s="61"/>
      <c r="L38" s="61" t="str">
        <f>графік!I37</f>
        <v/>
      </c>
      <c r="M38" s="61" t="str">
        <f>графік!J37</f>
        <v/>
      </c>
      <c r="N38" s="61" t="str">
        <f>графік!K37</f>
        <v/>
      </c>
      <c r="O38" s="61" t="str">
        <f>графік!L37</f>
        <v/>
      </c>
      <c r="P38" s="70" t="str">
        <f>графік!Q37</f>
        <v/>
      </c>
      <c r="Q38" s="61" t="str">
        <f t="shared" ca="1" si="0"/>
        <v xml:space="preserve"> </v>
      </c>
    </row>
    <row r="39" spans="1:17" x14ac:dyDescent="0.35">
      <c r="A39" s="57">
        <f>графік!A38</f>
        <v>10</v>
      </c>
      <c r="B39" s="63">
        <f ca="1">графік!C38</f>
        <v>44531</v>
      </c>
      <c r="C39" s="59">
        <f ca="1">графік!D38</f>
        <v>30</v>
      </c>
      <c r="D39" s="60">
        <f>графік!E38</f>
        <v>833333.30333333299</v>
      </c>
      <c r="E39" s="61">
        <f ca="1">графік!H38</f>
        <v>29933.659999999996</v>
      </c>
      <c r="F39" s="60">
        <f>графік!F38</f>
        <v>16666.669999999998</v>
      </c>
      <c r="G39" s="61">
        <f ca="1">графік!G38</f>
        <v>13266.99</v>
      </c>
      <c r="H39" s="61" t="str">
        <f>графік!M38</f>
        <v/>
      </c>
      <c r="I39" s="61" t="str">
        <f>графік!N38</f>
        <v/>
      </c>
      <c r="J39" s="61" t="str">
        <f>графік!O38</f>
        <v/>
      </c>
      <c r="K39" s="61"/>
      <c r="L39" s="61" t="str">
        <f>графік!I38</f>
        <v/>
      </c>
      <c r="M39" s="61" t="str">
        <f>графік!J38</f>
        <v/>
      </c>
      <c r="N39" s="61" t="str">
        <f>графік!K38</f>
        <v/>
      </c>
      <c r="O39" s="61" t="str">
        <f>графік!L38</f>
        <v/>
      </c>
      <c r="P39" s="70" t="str">
        <f>графік!Q38</f>
        <v/>
      </c>
      <c r="Q39" s="61" t="str">
        <f t="shared" ca="1" si="0"/>
        <v xml:space="preserve"> </v>
      </c>
    </row>
    <row r="40" spans="1:17" x14ac:dyDescent="0.35">
      <c r="A40" s="57">
        <f>графік!A39</f>
        <v>11</v>
      </c>
      <c r="B40" s="63">
        <f ca="1">графік!C39</f>
        <v>44562</v>
      </c>
      <c r="C40" s="59">
        <f ca="1">графік!D39</f>
        <v>31</v>
      </c>
      <c r="D40" s="60">
        <f>графік!E39</f>
        <v>816666.63333333295</v>
      </c>
      <c r="E40" s="61">
        <f ca="1">графік!H39</f>
        <v>30107.079999999998</v>
      </c>
      <c r="F40" s="60">
        <f>графік!F39</f>
        <v>16666.669999999998</v>
      </c>
      <c r="G40" s="61">
        <f ca="1">графік!G39</f>
        <v>13440.41</v>
      </c>
      <c r="H40" s="61" t="str">
        <f>графік!M39</f>
        <v/>
      </c>
      <c r="I40" s="61" t="str">
        <f>графік!N39</f>
        <v/>
      </c>
      <c r="J40" s="61" t="str">
        <f>графік!O39</f>
        <v/>
      </c>
      <c r="K40" s="61"/>
      <c r="L40" s="61" t="str">
        <f>графік!I39</f>
        <v/>
      </c>
      <c r="M40" s="61" t="str">
        <f>графік!J39</f>
        <v/>
      </c>
      <c r="N40" s="61" t="str">
        <f>графік!K39</f>
        <v/>
      </c>
      <c r="O40" s="61" t="str">
        <f>графік!L39</f>
        <v/>
      </c>
      <c r="P40" s="70" t="str">
        <f>графік!Q39</f>
        <v/>
      </c>
      <c r="Q40" s="61" t="str">
        <f t="shared" ca="1" si="0"/>
        <v xml:space="preserve"> </v>
      </c>
    </row>
    <row r="41" spans="1:17" x14ac:dyDescent="0.35">
      <c r="A41" s="57">
        <f>графік!A40</f>
        <v>12</v>
      </c>
      <c r="B41" s="63">
        <f ca="1">графік!C40</f>
        <v>44593</v>
      </c>
      <c r="C41" s="59">
        <f ca="1">графік!D40</f>
        <v>31</v>
      </c>
      <c r="D41" s="60">
        <f>графік!E40</f>
        <v>799999.96333333291</v>
      </c>
      <c r="E41" s="61">
        <f ca="1">графік!H40</f>
        <v>29838.269999999997</v>
      </c>
      <c r="F41" s="60">
        <f>графік!F40</f>
        <v>16666.669999999998</v>
      </c>
      <c r="G41" s="61">
        <f ca="1">графік!G40</f>
        <v>13171.6</v>
      </c>
      <c r="H41" s="61" t="str">
        <f>графік!M40</f>
        <v/>
      </c>
      <c r="I41" s="61" t="str">
        <f>графік!N40</f>
        <v/>
      </c>
      <c r="J41" s="61" t="str">
        <f>графік!O40</f>
        <v/>
      </c>
      <c r="K41" s="61"/>
      <c r="L41" s="61" t="str">
        <f>графік!I40</f>
        <v/>
      </c>
      <c r="M41" s="61" t="str">
        <f>графік!J40</f>
        <v/>
      </c>
      <c r="N41" s="61" t="str">
        <f>графік!K40</f>
        <v/>
      </c>
      <c r="O41" s="61" t="str">
        <f>графік!L40</f>
        <v/>
      </c>
      <c r="P41" s="70" t="str">
        <f>графік!Q40</f>
        <v/>
      </c>
      <c r="Q41" s="61" t="str">
        <f t="shared" ca="1" si="0"/>
        <v xml:space="preserve"> </v>
      </c>
    </row>
    <row r="42" spans="1:17" x14ac:dyDescent="0.35">
      <c r="A42" s="57">
        <f>графік!A41</f>
        <v>13</v>
      </c>
      <c r="B42" s="63">
        <f ca="1">графік!C41</f>
        <v>44621</v>
      </c>
      <c r="C42" s="59">
        <f ca="1">графік!D41</f>
        <v>28</v>
      </c>
      <c r="D42" s="60">
        <f>графік!E41</f>
        <v>783333.29333333287</v>
      </c>
      <c r="E42" s="61">
        <f ca="1">графік!H41</f>
        <v>28320.809999999998</v>
      </c>
      <c r="F42" s="60">
        <f>графік!F41</f>
        <v>16666.669999999998</v>
      </c>
      <c r="G42" s="61">
        <f ca="1">графік!G41</f>
        <v>11654.14</v>
      </c>
      <c r="H42" s="61" t="str">
        <f>графік!M41</f>
        <v/>
      </c>
      <c r="I42" s="61" t="str">
        <f>графік!N41</f>
        <v/>
      </c>
      <c r="J42" s="61">
        <f>графік!O41</f>
        <v>2500</v>
      </c>
      <c r="K42" s="61"/>
      <c r="L42" s="61" t="str">
        <f>графік!I41</f>
        <v/>
      </c>
      <c r="M42" s="61" t="str">
        <f>графік!J41</f>
        <v/>
      </c>
      <c r="N42" s="61" t="str">
        <f>графік!K41</f>
        <v/>
      </c>
      <c r="O42" s="61" t="str">
        <f>графік!L41</f>
        <v/>
      </c>
      <c r="P42" s="70" t="str">
        <f>графік!Q41</f>
        <v/>
      </c>
      <c r="Q42" s="61" t="str">
        <f t="shared" ca="1" si="0"/>
        <v xml:space="preserve"> </v>
      </c>
    </row>
    <row r="43" spans="1:17" x14ac:dyDescent="0.35">
      <c r="A43" s="57">
        <f>графік!A42</f>
        <v>14</v>
      </c>
      <c r="B43" s="63">
        <f ca="1">графік!C42</f>
        <v>44652</v>
      </c>
      <c r="C43" s="59">
        <f ca="1">графік!D42</f>
        <v>31</v>
      </c>
      <c r="D43" s="60">
        <f>графік!E42</f>
        <v>766666.62333333283</v>
      </c>
      <c r="E43" s="61">
        <f ca="1">графік!H42</f>
        <v>29300.659999999996</v>
      </c>
      <c r="F43" s="60">
        <f>графік!F42</f>
        <v>16666.669999999998</v>
      </c>
      <c r="G43" s="61">
        <f ca="1">графік!G42</f>
        <v>12633.99</v>
      </c>
      <c r="H43" s="61" t="str">
        <f>графік!M42</f>
        <v/>
      </c>
      <c r="I43" s="61" t="str">
        <f>графік!N42</f>
        <v/>
      </c>
      <c r="J43" s="61" t="str">
        <f>графік!O42</f>
        <v/>
      </c>
      <c r="K43" s="61"/>
      <c r="L43" s="61" t="str">
        <f>графік!I42</f>
        <v/>
      </c>
      <c r="M43" s="61" t="str">
        <f>графік!J42</f>
        <v/>
      </c>
      <c r="N43" s="61" t="str">
        <f>графік!K42</f>
        <v/>
      </c>
      <c r="O43" s="61" t="str">
        <f>графік!L42</f>
        <v/>
      </c>
      <c r="P43" s="70" t="str">
        <f>графік!Q42</f>
        <v/>
      </c>
      <c r="Q43" s="61" t="str">
        <f t="shared" ca="1" si="0"/>
        <v xml:space="preserve"> </v>
      </c>
    </row>
    <row r="44" spans="1:17" x14ac:dyDescent="0.35">
      <c r="A44" s="57">
        <f>графік!A43</f>
        <v>15</v>
      </c>
      <c r="B44" s="63">
        <f ca="1">графік!C43</f>
        <v>44682</v>
      </c>
      <c r="C44" s="59">
        <f ca="1">графік!D43</f>
        <v>30</v>
      </c>
      <c r="D44" s="60">
        <f>графік!E43</f>
        <v>749999.95333333279</v>
      </c>
      <c r="E44" s="61">
        <f ca="1">графік!H43</f>
        <v>28632.969999999998</v>
      </c>
      <c r="F44" s="60">
        <f>графік!F43</f>
        <v>16666.669999999998</v>
      </c>
      <c r="G44" s="61">
        <f ca="1">графік!G43</f>
        <v>11966.3</v>
      </c>
      <c r="H44" s="61" t="str">
        <f>графік!M43</f>
        <v/>
      </c>
      <c r="I44" s="61" t="str">
        <f>графік!N43</f>
        <v/>
      </c>
      <c r="J44" s="61" t="str">
        <f>графік!O43</f>
        <v/>
      </c>
      <c r="K44" s="61"/>
      <c r="L44" s="61" t="str">
        <f>графік!I43</f>
        <v/>
      </c>
      <c r="M44" s="61" t="str">
        <f>графік!J43</f>
        <v/>
      </c>
      <c r="N44" s="61" t="str">
        <f>графік!K43</f>
        <v/>
      </c>
      <c r="O44" s="61" t="str">
        <f>графік!L43</f>
        <v/>
      </c>
      <c r="P44" s="70" t="str">
        <f>графік!Q43</f>
        <v/>
      </c>
      <c r="Q44" s="61" t="str">
        <f t="shared" ca="1" si="0"/>
        <v xml:space="preserve"> </v>
      </c>
    </row>
    <row r="45" spans="1:17" x14ac:dyDescent="0.35">
      <c r="A45" s="57">
        <f>графік!A44</f>
        <v>16</v>
      </c>
      <c r="B45" s="63">
        <f ca="1">графік!C44</f>
        <v>44713</v>
      </c>
      <c r="C45" s="59">
        <f ca="1">графік!D44</f>
        <v>31</v>
      </c>
      <c r="D45" s="60">
        <f>графік!E44</f>
        <v>733333.28333333274</v>
      </c>
      <c r="E45" s="61">
        <f ca="1">графік!H44</f>
        <v>28763.040000000001</v>
      </c>
      <c r="F45" s="60">
        <f>графік!F44</f>
        <v>16666.669999999998</v>
      </c>
      <c r="G45" s="61">
        <f ca="1">графік!G44</f>
        <v>12096.37</v>
      </c>
      <c r="H45" s="61" t="str">
        <f>графік!M44</f>
        <v/>
      </c>
      <c r="I45" s="61" t="str">
        <f>графік!N44</f>
        <v/>
      </c>
      <c r="J45" s="61" t="str">
        <f>графік!O44</f>
        <v/>
      </c>
      <c r="K45" s="61"/>
      <c r="L45" s="61" t="str">
        <f>графік!I44</f>
        <v/>
      </c>
      <c r="M45" s="61" t="str">
        <f>графік!J44</f>
        <v/>
      </c>
      <c r="N45" s="61" t="str">
        <f>графік!K44</f>
        <v/>
      </c>
      <c r="O45" s="61" t="str">
        <f>графік!L44</f>
        <v/>
      </c>
      <c r="P45" s="70" t="str">
        <f>графік!Q44</f>
        <v/>
      </c>
      <c r="Q45" s="61" t="str">
        <f t="shared" ca="1" si="0"/>
        <v xml:space="preserve"> </v>
      </c>
    </row>
    <row r="46" spans="1:17" x14ac:dyDescent="0.35">
      <c r="A46" s="57">
        <f>графік!A45</f>
        <v>17</v>
      </c>
      <c r="B46" s="63">
        <f ca="1">графік!C45</f>
        <v>44743</v>
      </c>
      <c r="C46" s="59">
        <f ca="1">графік!D45</f>
        <v>30</v>
      </c>
      <c r="D46" s="60">
        <f>графік!E45</f>
        <v>716666.6133333327</v>
      </c>
      <c r="E46" s="61">
        <f ca="1">графік!H45</f>
        <v>28112.699999999997</v>
      </c>
      <c r="F46" s="60">
        <f>графік!F45</f>
        <v>16666.669999999998</v>
      </c>
      <c r="G46" s="61">
        <f ca="1">графік!G45</f>
        <v>11446.03</v>
      </c>
      <c r="H46" s="61" t="str">
        <f>графік!M45</f>
        <v/>
      </c>
      <c r="I46" s="61" t="str">
        <f>графік!N45</f>
        <v/>
      </c>
      <c r="J46" s="61" t="str">
        <f>графік!O45</f>
        <v/>
      </c>
      <c r="K46" s="61"/>
      <c r="L46" s="61" t="str">
        <f>графік!I45</f>
        <v/>
      </c>
      <c r="M46" s="61" t="str">
        <f>графік!J45</f>
        <v/>
      </c>
      <c r="N46" s="61" t="str">
        <f>графік!K45</f>
        <v/>
      </c>
      <c r="O46" s="61" t="str">
        <f>графік!L45</f>
        <v/>
      </c>
      <c r="P46" s="70" t="str">
        <f>графік!Q45</f>
        <v/>
      </c>
      <c r="Q46" s="61" t="str">
        <f t="shared" ca="1" si="0"/>
        <v xml:space="preserve"> </v>
      </c>
    </row>
    <row r="47" spans="1:17" x14ac:dyDescent="0.35">
      <c r="A47" s="57">
        <f>графік!A46</f>
        <v>18</v>
      </c>
      <c r="B47" s="63">
        <f ca="1">графік!C46</f>
        <v>44774</v>
      </c>
      <c r="C47" s="59">
        <f ca="1">графік!D46</f>
        <v>31</v>
      </c>
      <c r="D47" s="60">
        <f>графік!E46</f>
        <v>699999.94333333266</v>
      </c>
      <c r="E47" s="61">
        <f ca="1">графік!H46</f>
        <v>28225.42</v>
      </c>
      <c r="F47" s="60">
        <f>графік!F46</f>
        <v>16666.669999999998</v>
      </c>
      <c r="G47" s="61">
        <f ca="1">графік!G46</f>
        <v>11558.75</v>
      </c>
      <c r="H47" s="61" t="str">
        <f>графік!M46</f>
        <v/>
      </c>
      <c r="I47" s="61" t="str">
        <f>графік!N46</f>
        <v/>
      </c>
      <c r="J47" s="61" t="str">
        <f>графік!O46</f>
        <v/>
      </c>
      <c r="K47" s="61"/>
      <c r="L47" s="61" t="str">
        <f>графік!I46</f>
        <v/>
      </c>
      <c r="M47" s="61" t="str">
        <f>графік!J46</f>
        <v/>
      </c>
      <c r="N47" s="61" t="str">
        <f>графік!K46</f>
        <v/>
      </c>
      <c r="O47" s="61" t="str">
        <f>графік!L46</f>
        <v/>
      </c>
      <c r="P47" s="70" t="str">
        <f>графік!Q46</f>
        <v/>
      </c>
      <c r="Q47" s="61" t="str">
        <f t="shared" ca="1" si="0"/>
        <v xml:space="preserve"> </v>
      </c>
    </row>
    <row r="48" spans="1:17" x14ac:dyDescent="0.35">
      <c r="A48" s="57">
        <f>графік!A47</f>
        <v>19</v>
      </c>
      <c r="B48" s="63">
        <f ca="1">графік!C47</f>
        <v>44805</v>
      </c>
      <c r="C48" s="59">
        <f ca="1">графік!D47</f>
        <v>31</v>
      </c>
      <c r="D48" s="60">
        <f>графік!E47</f>
        <v>683333.27333333262</v>
      </c>
      <c r="E48" s="61">
        <f ca="1">графік!H47</f>
        <v>27956.61</v>
      </c>
      <c r="F48" s="60">
        <f>графік!F47</f>
        <v>16666.669999999998</v>
      </c>
      <c r="G48" s="61">
        <f ca="1">графік!G47</f>
        <v>11289.94</v>
      </c>
      <c r="H48" s="61" t="str">
        <f>графік!M47</f>
        <v/>
      </c>
      <c r="I48" s="61" t="str">
        <f>графік!N47</f>
        <v/>
      </c>
      <c r="J48" s="61" t="str">
        <f>графік!O47</f>
        <v/>
      </c>
      <c r="K48" s="61"/>
      <c r="L48" s="61" t="str">
        <f>графік!I47</f>
        <v/>
      </c>
      <c r="M48" s="61" t="str">
        <f>графік!J47</f>
        <v/>
      </c>
      <c r="N48" s="61" t="str">
        <f>графік!K47</f>
        <v/>
      </c>
      <c r="O48" s="61" t="str">
        <f>графік!L47</f>
        <v/>
      </c>
      <c r="P48" s="70" t="str">
        <f>графік!Q47</f>
        <v/>
      </c>
      <c r="Q48" s="61" t="str">
        <f t="shared" ca="1" si="0"/>
        <v xml:space="preserve"> </v>
      </c>
    </row>
    <row r="49" spans="1:17" x14ac:dyDescent="0.35">
      <c r="A49" s="57">
        <f>графік!A48</f>
        <v>20</v>
      </c>
      <c r="B49" s="63">
        <f ca="1">графік!C48</f>
        <v>44835</v>
      </c>
      <c r="C49" s="59">
        <f ca="1">графік!D48</f>
        <v>30</v>
      </c>
      <c r="D49" s="60">
        <f>графік!E48</f>
        <v>666666.60333333258</v>
      </c>
      <c r="E49" s="61">
        <f ca="1">графік!H48</f>
        <v>27332.29</v>
      </c>
      <c r="F49" s="60">
        <f>графік!F48</f>
        <v>16666.669999999998</v>
      </c>
      <c r="G49" s="61">
        <f ca="1">графік!G48</f>
        <v>10665.62</v>
      </c>
      <c r="H49" s="61" t="str">
        <f>графік!M48</f>
        <v/>
      </c>
      <c r="I49" s="61" t="str">
        <f>графік!N48</f>
        <v/>
      </c>
      <c r="J49" s="61" t="str">
        <f>графік!O48</f>
        <v/>
      </c>
      <c r="K49" s="61"/>
      <c r="L49" s="61" t="str">
        <f>графік!I48</f>
        <v/>
      </c>
      <c r="M49" s="61" t="str">
        <f>графік!J48</f>
        <v/>
      </c>
      <c r="N49" s="61" t="str">
        <f>графік!K48</f>
        <v/>
      </c>
      <c r="O49" s="61" t="str">
        <f>графік!L48</f>
        <v/>
      </c>
      <c r="P49" s="70" t="str">
        <f>графік!Q48</f>
        <v/>
      </c>
      <c r="Q49" s="61" t="str">
        <f t="shared" ca="1" si="0"/>
        <v xml:space="preserve"> </v>
      </c>
    </row>
    <row r="50" spans="1:17" x14ac:dyDescent="0.35">
      <c r="A50" s="57">
        <f>графік!A49</f>
        <v>21</v>
      </c>
      <c r="B50" s="63">
        <f ca="1">графік!C49</f>
        <v>44866</v>
      </c>
      <c r="C50" s="59">
        <f ca="1">графік!D49</f>
        <v>31</v>
      </c>
      <c r="D50" s="60">
        <f>графік!E49</f>
        <v>649999.93333333253</v>
      </c>
      <c r="E50" s="61">
        <f ca="1">графік!H49</f>
        <v>27419</v>
      </c>
      <c r="F50" s="60">
        <f>графік!F49</f>
        <v>16666.669999999998</v>
      </c>
      <c r="G50" s="61">
        <f ca="1">графік!G49</f>
        <v>10752.33</v>
      </c>
      <c r="H50" s="61" t="str">
        <f>графік!M49</f>
        <v/>
      </c>
      <c r="I50" s="61" t="str">
        <f>графік!N49</f>
        <v/>
      </c>
      <c r="J50" s="61" t="str">
        <f>графік!O49</f>
        <v/>
      </c>
      <c r="K50" s="61"/>
      <c r="L50" s="61" t="str">
        <f>графік!I49</f>
        <v/>
      </c>
      <c r="M50" s="61" t="str">
        <f>графік!J49</f>
        <v/>
      </c>
      <c r="N50" s="61" t="str">
        <f>графік!K49</f>
        <v/>
      </c>
      <c r="O50" s="61" t="str">
        <f>графік!L49</f>
        <v/>
      </c>
      <c r="P50" s="70" t="str">
        <f>графік!Q49</f>
        <v/>
      </c>
      <c r="Q50" s="61" t="str">
        <f t="shared" ca="1" si="0"/>
        <v xml:space="preserve"> </v>
      </c>
    </row>
    <row r="51" spans="1:17" x14ac:dyDescent="0.35">
      <c r="A51" s="57">
        <f>графік!A50</f>
        <v>22</v>
      </c>
      <c r="B51" s="63">
        <f ca="1">графік!C50</f>
        <v>44896</v>
      </c>
      <c r="C51" s="59">
        <f ca="1">графік!D50</f>
        <v>30</v>
      </c>
      <c r="D51" s="60">
        <f>графік!E50</f>
        <v>633333.26333333249</v>
      </c>
      <c r="E51" s="61">
        <f ca="1">графік!H50</f>
        <v>26812.01</v>
      </c>
      <c r="F51" s="60">
        <f>графік!F50</f>
        <v>16666.669999999998</v>
      </c>
      <c r="G51" s="61">
        <f ca="1">графік!G50</f>
        <v>10145.34</v>
      </c>
      <c r="H51" s="61" t="str">
        <f>графік!M50</f>
        <v/>
      </c>
      <c r="I51" s="61" t="str">
        <f>графік!N50</f>
        <v/>
      </c>
      <c r="J51" s="61" t="str">
        <f>графік!O50</f>
        <v/>
      </c>
      <c r="K51" s="61"/>
      <c r="L51" s="61" t="str">
        <f>графік!I50</f>
        <v/>
      </c>
      <c r="M51" s="61" t="str">
        <f>графік!J50</f>
        <v/>
      </c>
      <c r="N51" s="61" t="str">
        <f>графік!K50</f>
        <v/>
      </c>
      <c r="O51" s="61" t="str">
        <f>графік!L50</f>
        <v/>
      </c>
      <c r="P51" s="70" t="str">
        <f>графік!Q50</f>
        <v/>
      </c>
      <c r="Q51" s="61" t="str">
        <f t="shared" ca="1" si="0"/>
        <v xml:space="preserve"> </v>
      </c>
    </row>
    <row r="52" spans="1:17" x14ac:dyDescent="0.35">
      <c r="A52" s="57">
        <f>графік!A51</f>
        <v>23</v>
      </c>
      <c r="B52" s="63">
        <f ca="1">графік!C51</f>
        <v>44927</v>
      </c>
      <c r="C52" s="59">
        <f ca="1">графік!D51</f>
        <v>31</v>
      </c>
      <c r="D52" s="60">
        <f>графік!E51</f>
        <v>616666.59333333245</v>
      </c>
      <c r="E52" s="61">
        <f ca="1">графік!H51</f>
        <v>26881.379999999997</v>
      </c>
      <c r="F52" s="60">
        <f>графік!F51</f>
        <v>16666.669999999998</v>
      </c>
      <c r="G52" s="61">
        <f ca="1">графік!G51</f>
        <v>10214.709999999999</v>
      </c>
      <c r="H52" s="61" t="str">
        <f>графік!M51</f>
        <v/>
      </c>
      <c r="I52" s="61" t="str">
        <f>графік!N51</f>
        <v/>
      </c>
      <c r="J52" s="61" t="str">
        <f>графік!O51</f>
        <v/>
      </c>
      <c r="K52" s="61"/>
      <c r="L52" s="61" t="str">
        <f>графік!I51</f>
        <v/>
      </c>
      <c r="M52" s="61" t="str">
        <f>графік!J51</f>
        <v/>
      </c>
      <c r="N52" s="61" t="str">
        <f>графік!K51</f>
        <v/>
      </c>
      <c r="O52" s="61" t="str">
        <f>графік!L51</f>
        <v/>
      </c>
      <c r="P52" s="70" t="str">
        <f>графік!Q51</f>
        <v/>
      </c>
      <c r="Q52" s="61" t="str">
        <f t="shared" ca="1" si="0"/>
        <v xml:space="preserve"> </v>
      </c>
    </row>
    <row r="53" spans="1:17" x14ac:dyDescent="0.35">
      <c r="A53" s="57">
        <f>графік!A52</f>
        <v>24</v>
      </c>
      <c r="B53" s="63">
        <f ca="1">графік!C52</f>
        <v>44958</v>
      </c>
      <c r="C53" s="59">
        <f ca="1">графік!D52</f>
        <v>31</v>
      </c>
      <c r="D53" s="60">
        <f>графік!E52</f>
        <v>599999.92333333241</v>
      </c>
      <c r="E53" s="61">
        <f ca="1">графік!H52</f>
        <v>26612.57</v>
      </c>
      <c r="F53" s="60">
        <f>графік!F52</f>
        <v>16666.669999999998</v>
      </c>
      <c r="G53" s="61">
        <f ca="1">графік!G52</f>
        <v>9945.9</v>
      </c>
      <c r="H53" s="61" t="str">
        <f>графік!M52</f>
        <v/>
      </c>
      <c r="I53" s="61" t="str">
        <f>графік!N52</f>
        <v/>
      </c>
      <c r="J53" s="61" t="str">
        <f>графік!O52</f>
        <v/>
      </c>
      <c r="K53" s="61"/>
      <c r="L53" s="61" t="str">
        <f>графік!I52</f>
        <v/>
      </c>
      <c r="M53" s="61" t="str">
        <f>графік!J52</f>
        <v/>
      </c>
      <c r="N53" s="61" t="str">
        <f>графік!K52</f>
        <v/>
      </c>
      <c r="O53" s="61" t="str">
        <f>графік!L52</f>
        <v/>
      </c>
      <c r="P53" s="70" t="str">
        <f>графік!Q52</f>
        <v/>
      </c>
      <c r="Q53" s="61" t="str">
        <f t="shared" ca="1" si="0"/>
        <v xml:space="preserve"> </v>
      </c>
    </row>
    <row r="54" spans="1:17" x14ac:dyDescent="0.35">
      <c r="A54" s="57">
        <f>графік!A53</f>
        <v>25</v>
      </c>
      <c r="B54" s="63">
        <f ca="1">графік!C53</f>
        <v>44986</v>
      </c>
      <c r="C54" s="59">
        <f ca="1">графік!D53</f>
        <v>28</v>
      </c>
      <c r="D54" s="60">
        <f>графік!E53</f>
        <v>583333.25333333237</v>
      </c>
      <c r="E54" s="61">
        <f ca="1">графік!H53</f>
        <v>25407.269999999997</v>
      </c>
      <c r="F54" s="60">
        <f>графік!F53</f>
        <v>16666.669999999998</v>
      </c>
      <c r="G54" s="61">
        <f ca="1">графік!G53</f>
        <v>8740.6</v>
      </c>
      <c r="H54" s="61" t="str">
        <f>графік!M53</f>
        <v/>
      </c>
      <c r="I54" s="61" t="str">
        <f>графік!N53</f>
        <v/>
      </c>
      <c r="J54" s="61">
        <f>графік!O53</f>
        <v>2500</v>
      </c>
      <c r="K54" s="61"/>
      <c r="L54" s="61" t="str">
        <f>графік!I53</f>
        <v/>
      </c>
      <c r="M54" s="61" t="str">
        <f>графік!J53</f>
        <v/>
      </c>
      <c r="N54" s="61" t="str">
        <f>графік!K53</f>
        <v/>
      </c>
      <c r="O54" s="61" t="str">
        <f>графік!L53</f>
        <v/>
      </c>
      <c r="P54" s="70" t="str">
        <f>графік!Q53</f>
        <v/>
      </c>
      <c r="Q54" s="61" t="str">
        <f t="shared" ca="1" si="0"/>
        <v xml:space="preserve"> </v>
      </c>
    </row>
    <row r="55" spans="1:17" x14ac:dyDescent="0.35">
      <c r="A55" s="57">
        <f>графік!A54</f>
        <v>26</v>
      </c>
      <c r="B55" s="63">
        <f ca="1">графік!C54</f>
        <v>45017</v>
      </c>
      <c r="C55" s="59">
        <f ca="1">графік!D54</f>
        <v>31</v>
      </c>
      <c r="D55" s="60">
        <f>графік!E54</f>
        <v>566666.58333333232</v>
      </c>
      <c r="E55" s="61">
        <f ca="1">графік!H54</f>
        <v>26074.959999999999</v>
      </c>
      <c r="F55" s="60">
        <f>графік!F54</f>
        <v>16666.669999999998</v>
      </c>
      <c r="G55" s="61">
        <f ca="1">графік!G54</f>
        <v>9408.2900000000009</v>
      </c>
      <c r="H55" s="61" t="str">
        <f>графік!M54</f>
        <v/>
      </c>
      <c r="I55" s="61" t="str">
        <f>графік!N54</f>
        <v/>
      </c>
      <c r="J55" s="61" t="str">
        <f>графік!O54</f>
        <v/>
      </c>
      <c r="K55" s="61"/>
      <c r="L55" s="61" t="str">
        <f>графік!I54</f>
        <v/>
      </c>
      <c r="M55" s="61" t="str">
        <f>графік!J54</f>
        <v/>
      </c>
      <c r="N55" s="61" t="str">
        <f>графік!K54</f>
        <v/>
      </c>
      <c r="O55" s="61" t="str">
        <f>графік!L54</f>
        <v/>
      </c>
      <c r="P55" s="70" t="str">
        <f>графік!Q54</f>
        <v/>
      </c>
      <c r="Q55" s="61" t="str">
        <f t="shared" ca="1" si="0"/>
        <v xml:space="preserve"> </v>
      </c>
    </row>
    <row r="56" spans="1:17" x14ac:dyDescent="0.35">
      <c r="A56" s="57">
        <f>графік!A55</f>
        <v>27</v>
      </c>
      <c r="B56" s="63">
        <f ca="1">графік!C55</f>
        <v>45047</v>
      </c>
      <c r="C56" s="59">
        <f ca="1">графік!D55</f>
        <v>30</v>
      </c>
      <c r="D56" s="60">
        <f>графік!E55</f>
        <v>549999.91333333228</v>
      </c>
      <c r="E56" s="61">
        <f ca="1">графік!H55</f>
        <v>25511.329999999998</v>
      </c>
      <c r="F56" s="60">
        <f>графік!F55</f>
        <v>16666.669999999998</v>
      </c>
      <c r="G56" s="61">
        <f ca="1">графік!G55</f>
        <v>8844.66</v>
      </c>
      <c r="H56" s="61" t="str">
        <f>графік!M55</f>
        <v/>
      </c>
      <c r="I56" s="61" t="str">
        <f>графік!N55</f>
        <v/>
      </c>
      <c r="J56" s="61" t="str">
        <f>графік!O55</f>
        <v/>
      </c>
      <c r="K56" s="61"/>
      <c r="L56" s="61" t="str">
        <f>графік!I55</f>
        <v/>
      </c>
      <c r="M56" s="61" t="str">
        <f>графік!J55</f>
        <v/>
      </c>
      <c r="N56" s="61" t="str">
        <f>графік!K55</f>
        <v/>
      </c>
      <c r="O56" s="61" t="str">
        <f>графік!L55</f>
        <v/>
      </c>
      <c r="P56" s="70" t="str">
        <f>графік!Q55</f>
        <v/>
      </c>
      <c r="Q56" s="61" t="str">
        <f t="shared" ca="1" si="0"/>
        <v xml:space="preserve"> </v>
      </c>
    </row>
    <row r="57" spans="1:17" x14ac:dyDescent="0.35">
      <c r="A57" s="57">
        <f>графік!A56</f>
        <v>28</v>
      </c>
      <c r="B57" s="63">
        <f ca="1">графік!C56</f>
        <v>45078</v>
      </c>
      <c r="C57" s="59">
        <f ca="1">графік!D56</f>
        <v>31</v>
      </c>
      <c r="D57" s="60">
        <f>графік!E56</f>
        <v>533333.24333333224</v>
      </c>
      <c r="E57" s="61">
        <f ca="1">графік!H56</f>
        <v>25537.339999999997</v>
      </c>
      <c r="F57" s="60">
        <f>графік!F56</f>
        <v>16666.669999999998</v>
      </c>
      <c r="G57" s="61">
        <f ca="1">графік!G56</f>
        <v>8870.67</v>
      </c>
      <c r="H57" s="61" t="str">
        <f>графік!M56</f>
        <v/>
      </c>
      <c r="I57" s="61" t="str">
        <f>графік!N56</f>
        <v/>
      </c>
      <c r="J57" s="61" t="str">
        <f>графік!O56</f>
        <v/>
      </c>
      <c r="K57" s="61"/>
      <c r="L57" s="61" t="str">
        <f>графік!I56</f>
        <v/>
      </c>
      <c r="M57" s="61" t="str">
        <f>графік!J56</f>
        <v/>
      </c>
      <c r="N57" s="61" t="str">
        <f>графік!K56</f>
        <v/>
      </c>
      <c r="O57" s="61" t="str">
        <f>графік!L56</f>
        <v/>
      </c>
      <c r="P57" s="70" t="str">
        <f>графік!Q56</f>
        <v/>
      </c>
      <c r="Q57" s="61" t="str">
        <f t="shared" ca="1" si="0"/>
        <v xml:space="preserve"> </v>
      </c>
    </row>
    <row r="58" spans="1:17" x14ac:dyDescent="0.35">
      <c r="A58" s="57">
        <f>графік!A57</f>
        <v>29</v>
      </c>
      <c r="B58" s="63">
        <f ca="1">графік!C57</f>
        <v>45108</v>
      </c>
      <c r="C58" s="59">
        <f ca="1">графік!D57</f>
        <v>30</v>
      </c>
      <c r="D58" s="60">
        <f>графік!E57</f>
        <v>516666.57333333226</v>
      </c>
      <c r="E58" s="61">
        <f ca="1">графік!H57</f>
        <v>24991.049999999996</v>
      </c>
      <c r="F58" s="60">
        <f>графік!F57</f>
        <v>16666.669999999998</v>
      </c>
      <c r="G58" s="61">
        <f ca="1">графік!G57</f>
        <v>8324.3799999999992</v>
      </c>
      <c r="H58" s="61" t="str">
        <f>графік!M57</f>
        <v/>
      </c>
      <c r="I58" s="61" t="str">
        <f>графік!N57</f>
        <v/>
      </c>
      <c r="J58" s="61" t="str">
        <f>графік!O57</f>
        <v/>
      </c>
      <c r="K58" s="61"/>
      <c r="L58" s="61" t="str">
        <f>графік!I57</f>
        <v/>
      </c>
      <c r="M58" s="61" t="str">
        <f>графік!J57</f>
        <v/>
      </c>
      <c r="N58" s="61" t="str">
        <f>графік!K57</f>
        <v/>
      </c>
      <c r="O58" s="61" t="str">
        <f>графік!L57</f>
        <v/>
      </c>
      <c r="P58" s="70" t="str">
        <f>графік!Q57</f>
        <v/>
      </c>
      <c r="Q58" s="61" t="str">
        <f t="shared" ca="1" si="0"/>
        <v xml:space="preserve"> </v>
      </c>
    </row>
    <row r="59" spans="1:17" x14ac:dyDescent="0.35">
      <c r="A59" s="57">
        <f>графік!A58</f>
        <v>30</v>
      </c>
      <c r="B59" s="63">
        <f ca="1">графік!C58</f>
        <v>45139</v>
      </c>
      <c r="C59" s="59">
        <f ca="1">графік!D58</f>
        <v>31</v>
      </c>
      <c r="D59" s="60">
        <f>графік!E58</f>
        <v>499999.90333333227</v>
      </c>
      <c r="E59" s="61">
        <f ca="1">графік!H58</f>
        <v>24999.719999999998</v>
      </c>
      <c r="F59" s="60">
        <f>графік!F58</f>
        <v>16666.669999999998</v>
      </c>
      <c r="G59" s="61">
        <f ca="1">графік!G58</f>
        <v>8333.0499999999993</v>
      </c>
      <c r="H59" s="61" t="str">
        <f>графік!M58</f>
        <v/>
      </c>
      <c r="I59" s="61" t="str">
        <f>графік!N58</f>
        <v/>
      </c>
      <c r="J59" s="61" t="str">
        <f>графік!O58</f>
        <v/>
      </c>
      <c r="K59" s="61"/>
      <c r="L59" s="61" t="str">
        <f>графік!I58</f>
        <v/>
      </c>
      <c r="M59" s="61" t="str">
        <f>графік!J58</f>
        <v/>
      </c>
      <c r="N59" s="61" t="str">
        <f>графік!K58</f>
        <v/>
      </c>
      <c r="O59" s="61" t="str">
        <f>графік!L58</f>
        <v/>
      </c>
      <c r="P59" s="70" t="str">
        <f>графік!Q58</f>
        <v/>
      </c>
      <c r="Q59" s="61" t="str">
        <f t="shared" ca="1" si="0"/>
        <v xml:space="preserve"> </v>
      </c>
    </row>
    <row r="60" spans="1:17" x14ac:dyDescent="0.35">
      <c r="A60" s="57">
        <f>графік!A59</f>
        <v>31</v>
      </c>
      <c r="B60" s="63">
        <f ca="1">графік!C59</f>
        <v>45170</v>
      </c>
      <c r="C60" s="59">
        <f ca="1">графік!D59</f>
        <v>31</v>
      </c>
      <c r="D60" s="60">
        <f>графік!E59</f>
        <v>483333.23333333229</v>
      </c>
      <c r="E60" s="61">
        <f ca="1">графік!H59</f>
        <v>24730.92</v>
      </c>
      <c r="F60" s="60">
        <f>графік!F59</f>
        <v>16666.669999999998</v>
      </c>
      <c r="G60" s="61">
        <f ca="1">графік!G59</f>
        <v>8064.25</v>
      </c>
      <c r="H60" s="61" t="str">
        <f>графік!M59</f>
        <v/>
      </c>
      <c r="I60" s="61" t="str">
        <f>графік!N59</f>
        <v/>
      </c>
      <c r="J60" s="61" t="str">
        <f>графік!O59</f>
        <v/>
      </c>
      <c r="K60" s="61"/>
      <c r="L60" s="61" t="str">
        <f>графік!I59</f>
        <v/>
      </c>
      <c r="M60" s="61" t="str">
        <f>графік!J59</f>
        <v/>
      </c>
      <c r="N60" s="61" t="str">
        <f>графік!K59</f>
        <v/>
      </c>
      <c r="O60" s="61" t="str">
        <f>графік!L59</f>
        <v/>
      </c>
      <c r="P60" s="70" t="str">
        <f>графік!Q59</f>
        <v/>
      </c>
      <c r="Q60" s="61" t="str">
        <f t="shared" ca="1" si="0"/>
        <v xml:space="preserve"> </v>
      </c>
    </row>
    <row r="61" spans="1:17" x14ac:dyDescent="0.35">
      <c r="A61" s="57">
        <f>графік!A60</f>
        <v>32</v>
      </c>
      <c r="B61" s="63">
        <f ca="1">графік!C60</f>
        <v>45200</v>
      </c>
      <c r="C61" s="59">
        <f ca="1">графік!D60</f>
        <v>30</v>
      </c>
      <c r="D61" s="60">
        <f>графік!E60</f>
        <v>466666.56333333231</v>
      </c>
      <c r="E61" s="61">
        <f ca="1">графік!H60</f>
        <v>24210.639999999999</v>
      </c>
      <c r="F61" s="60">
        <f>графік!F60</f>
        <v>16666.669999999998</v>
      </c>
      <c r="G61" s="61">
        <f ca="1">графік!G60</f>
        <v>7543.97</v>
      </c>
      <c r="H61" s="61" t="str">
        <f>графік!M60</f>
        <v/>
      </c>
      <c r="I61" s="61" t="str">
        <f>графік!N60</f>
        <v/>
      </c>
      <c r="J61" s="61" t="str">
        <f>графік!O60</f>
        <v/>
      </c>
      <c r="K61" s="61"/>
      <c r="L61" s="61" t="str">
        <f>графік!I60</f>
        <v/>
      </c>
      <c r="M61" s="61" t="str">
        <f>графік!J60</f>
        <v/>
      </c>
      <c r="N61" s="61" t="str">
        <f>графік!K60</f>
        <v/>
      </c>
      <c r="O61" s="61" t="str">
        <f>графік!L60</f>
        <v/>
      </c>
      <c r="P61" s="70" t="str">
        <f>графік!Q60</f>
        <v/>
      </c>
      <c r="Q61" s="61" t="str">
        <f t="shared" ca="1" si="0"/>
        <v xml:space="preserve"> </v>
      </c>
    </row>
    <row r="62" spans="1:17" x14ac:dyDescent="0.35">
      <c r="A62" s="57">
        <f>графік!A61</f>
        <v>33</v>
      </c>
      <c r="B62" s="63">
        <f ca="1">графік!C61</f>
        <v>45231</v>
      </c>
      <c r="C62" s="59">
        <f ca="1">графік!D61</f>
        <v>31</v>
      </c>
      <c r="D62" s="60">
        <f>графік!E61</f>
        <v>449999.89333333232</v>
      </c>
      <c r="E62" s="61">
        <f ca="1">графік!H61</f>
        <v>24193.3</v>
      </c>
      <c r="F62" s="60">
        <f>графік!F61</f>
        <v>16666.669999999998</v>
      </c>
      <c r="G62" s="61">
        <f ca="1">графік!G61</f>
        <v>7526.63</v>
      </c>
      <c r="H62" s="61" t="str">
        <f>графік!M61</f>
        <v/>
      </c>
      <c r="I62" s="61" t="str">
        <f>графік!N61</f>
        <v/>
      </c>
      <c r="J62" s="61" t="str">
        <f>графік!O61</f>
        <v/>
      </c>
      <c r="K62" s="61"/>
      <c r="L62" s="61" t="str">
        <f>графік!I61</f>
        <v/>
      </c>
      <c r="M62" s="61" t="str">
        <f>графік!J61</f>
        <v/>
      </c>
      <c r="N62" s="61" t="str">
        <f>графік!K61</f>
        <v/>
      </c>
      <c r="O62" s="61" t="str">
        <f>графік!L61</f>
        <v/>
      </c>
      <c r="P62" s="70" t="str">
        <f>графік!Q61</f>
        <v/>
      </c>
      <c r="Q62" s="61" t="str">
        <f t="shared" ca="1" si="0"/>
        <v xml:space="preserve"> </v>
      </c>
    </row>
    <row r="63" spans="1:17" x14ac:dyDescent="0.35">
      <c r="A63" s="57">
        <f>графік!A62</f>
        <v>34</v>
      </c>
      <c r="B63" s="63">
        <f ca="1">графік!C62</f>
        <v>45261</v>
      </c>
      <c r="C63" s="59">
        <f ca="1">графік!D62</f>
        <v>30</v>
      </c>
      <c r="D63" s="60">
        <f>графік!E62</f>
        <v>433333.22333333234</v>
      </c>
      <c r="E63" s="61">
        <f ca="1">графік!H62</f>
        <v>23690.37</v>
      </c>
      <c r="F63" s="60">
        <f>графік!F62</f>
        <v>16666.669999999998</v>
      </c>
      <c r="G63" s="61">
        <f ca="1">графік!G62</f>
        <v>7023.7</v>
      </c>
      <c r="H63" s="61" t="str">
        <f>графік!M62</f>
        <v/>
      </c>
      <c r="I63" s="61" t="str">
        <f>графік!N62</f>
        <v/>
      </c>
      <c r="J63" s="61" t="str">
        <f>графік!O62</f>
        <v/>
      </c>
      <c r="K63" s="61"/>
      <c r="L63" s="61" t="str">
        <f>графік!I62</f>
        <v/>
      </c>
      <c r="M63" s="61" t="str">
        <f>графік!J62</f>
        <v/>
      </c>
      <c r="N63" s="61" t="str">
        <f>графік!K62</f>
        <v/>
      </c>
      <c r="O63" s="61" t="str">
        <f>графік!L62</f>
        <v/>
      </c>
      <c r="P63" s="70" t="str">
        <f>графік!Q62</f>
        <v/>
      </c>
      <c r="Q63" s="61" t="str">
        <f t="shared" ca="1" si="0"/>
        <v xml:space="preserve"> </v>
      </c>
    </row>
    <row r="64" spans="1:17" x14ac:dyDescent="0.35">
      <c r="A64" s="57">
        <f>графік!A63</f>
        <v>35</v>
      </c>
      <c r="B64" s="63">
        <f ca="1">графік!C63</f>
        <v>45292</v>
      </c>
      <c r="C64" s="59">
        <f ca="1">графік!D63</f>
        <v>31</v>
      </c>
      <c r="D64" s="60">
        <f>графік!E63</f>
        <v>416666.55333333235</v>
      </c>
      <c r="E64" s="61">
        <f ca="1">графік!H63</f>
        <v>23655.68</v>
      </c>
      <c r="F64" s="60">
        <f>графік!F63</f>
        <v>16666.669999999998</v>
      </c>
      <c r="G64" s="61">
        <f ca="1">графік!G63</f>
        <v>6989.01</v>
      </c>
      <c r="H64" s="61" t="str">
        <f>графік!M63</f>
        <v/>
      </c>
      <c r="I64" s="61" t="str">
        <f>графік!N63</f>
        <v/>
      </c>
      <c r="J64" s="61" t="str">
        <f>графік!O63</f>
        <v/>
      </c>
      <c r="K64" s="61"/>
      <c r="L64" s="61" t="str">
        <f>графік!I63</f>
        <v/>
      </c>
      <c r="M64" s="61" t="str">
        <f>графік!J63</f>
        <v/>
      </c>
      <c r="N64" s="61" t="str">
        <f>графік!K63</f>
        <v/>
      </c>
      <c r="O64" s="61" t="str">
        <f>графік!L63</f>
        <v/>
      </c>
      <c r="P64" s="70" t="str">
        <f>графік!Q63</f>
        <v/>
      </c>
      <c r="Q64" s="61" t="str">
        <f t="shared" ca="1" si="0"/>
        <v xml:space="preserve"> </v>
      </c>
    </row>
    <row r="65" spans="1:17" x14ac:dyDescent="0.35">
      <c r="A65" s="57">
        <f>графік!A64</f>
        <v>36</v>
      </c>
      <c r="B65" s="63">
        <f ca="1">графік!C64</f>
        <v>45323</v>
      </c>
      <c r="C65" s="59">
        <f ca="1">графік!D64</f>
        <v>31</v>
      </c>
      <c r="D65" s="60">
        <f>графік!E64</f>
        <v>399999.88333333237</v>
      </c>
      <c r="E65" s="61">
        <f ca="1">графік!H64</f>
        <v>23368.51</v>
      </c>
      <c r="F65" s="60">
        <f>графік!F64</f>
        <v>16666.669999999998</v>
      </c>
      <c r="G65" s="61">
        <f ca="1">графік!G64</f>
        <v>6701.84</v>
      </c>
      <c r="H65" s="61" t="str">
        <f>графік!M64</f>
        <v/>
      </c>
      <c r="I65" s="61" t="str">
        <f>графік!N64</f>
        <v/>
      </c>
      <c r="J65" s="61" t="str">
        <f>графік!O64</f>
        <v/>
      </c>
      <c r="K65" s="61"/>
      <c r="L65" s="61" t="str">
        <f>графік!I64</f>
        <v/>
      </c>
      <c r="M65" s="61" t="str">
        <f>графік!J64</f>
        <v/>
      </c>
      <c r="N65" s="61" t="str">
        <f>графік!K64</f>
        <v/>
      </c>
      <c r="O65" s="61" t="str">
        <f>графік!L64</f>
        <v/>
      </c>
      <c r="P65" s="70" t="str">
        <f>графік!Q64</f>
        <v/>
      </c>
      <c r="Q65" s="61" t="str">
        <f t="shared" ca="1" si="0"/>
        <v xml:space="preserve"> </v>
      </c>
    </row>
    <row r="66" spans="1:17" x14ac:dyDescent="0.35">
      <c r="A66" s="57">
        <f>графік!A65</f>
        <v>37</v>
      </c>
      <c r="B66" s="63">
        <f ca="1">графік!C65</f>
        <v>45352</v>
      </c>
      <c r="C66" s="59">
        <f ca="1">графік!D65</f>
        <v>29</v>
      </c>
      <c r="D66" s="60">
        <f>графік!E65</f>
        <v>383333.21333333239</v>
      </c>
      <c r="E66" s="61">
        <f ca="1">графік!H65</f>
        <v>22685.359999999997</v>
      </c>
      <c r="F66" s="60">
        <f>графік!F65</f>
        <v>16666.669999999998</v>
      </c>
      <c r="G66" s="61">
        <f ca="1">графік!G65</f>
        <v>6018.69</v>
      </c>
      <c r="H66" s="61" t="str">
        <f>графік!M65</f>
        <v/>
      </c>
      <c r="I66" s="61" t="str">
        <f>графік!N65</f>
        <v/>
      </c>
      <c r="J66" s="61">
        <f>графік!O65</f>
        <v>2500</v>
      </c>
      <c r="K66" s="61"/>
      <c r="L66" s="61" t="str">
        <f>графік!I65</f>
        <v/>
      </c>
      <c r="M66" s="61" t="str">
        <f>графік!J65</f>
        <v/>
      </c>
      <c r="N66" s="61" t="str">
        <f>графік!K65</f>
        <v/>
      </c>
      <c r="O66" s="61" t="str">
        <f>графік!L65</f>
        <v/>
      </c>
      <c r="P66" s="70" t="str">
        <f>графік!Q65</f>
        <v/>
      </c>
      <c r="Q66" s="61" t="str">
        <f t="shared" ca="1" si="0"/>
        <v xml:space="preserve"> </v>
      </c>
    </row>
    <row r="67" spans="1:17" x14ac:dyDescent="0.35">
      <c r="A67" s="57">
        <f>графік!A66</f>
        <v>38</v>
      </c>
      <c r="B67" s="63">
        <f ca="1">графік!C66</f>
        <v>45383</v>
      </c>
      <c r="C67" s="59">
        <f ca="1">графік!D66</f>
        <v>31</v>
      </c>
      <c r="D67" s="60">
        <f>графік!E66</f>
        <v>366666.5433333324</v>
      </c>
      <c r="E67" s="61">
        <f ca="1">графік!H66</f>
        <v>22832.359999999997</v>
      </c>
      <c r="F67" s="60">
        <f>графік!F66</f>
        <v>16666.669999999998</v>
      </c>
      <c r="G67" s="61">
        <f ca="1">графік!G66</f>
        <v>6165.69</v>
      </c>
      <c r="H67" s="61" t="str">
        <f>графік!M66</f>
        <v/>
      </c>
      <c r="I67" s="61" t="str">
        <f>графік!N66</f>
        <v/>
      </c>
      <c r="J67" s="61" t="str">
        <f>графік!O66</f>
        <v/>
      </c>
      <c r="K67" s="61"/>
      <c r="L67" s="61" t="str">
        <f>графік!I66</f>
        <v/>
      </c>
      <c r="M67" s="61" t="str">
        <f>графік!J66</f>
        <v/>
      </c>
      <c r="N67" s="61" t="str">
        <f>графік!K66</f>
        <v/>
      </c>
      <c r="O67" s="61" t="str">
        <f>графік!L66</f>
        <v/>
      </c>
      <c r="P67" s="70" t="str">
        <f>графік!Q66</f>
        <v/>
      </c>
      <c r="Q67" s="61" t="str">
        <f t="shared" ca="1" si="0"/>
        <v xml:space="preserve"> </v>
      </c>
    </row>
    <row r="68" spans="1:17" x14ac:dyDescent="0.35">
      <c r="A68" s="57">
        <f>графік!A67</f>
        <v>39</v>
      </c>
      <c r="B68" s="63">
        <f ca="1">графік!C67</f>
        <v>45413</v>
      </c>
      <c r="C68" s="59">
        <f ca="1">графік!D67</f>
        <v>30</v>
      </c>
      <c r="D68" s="60">
        <f>графік!E67</f>
        <v>349999.87333333242</v>
      </c>
      <c r="E68" s="61">
        <f ca="1">графік!H67</f>
        <v>22374.05</v>
      </c>
      <c r="F68" s="60">
        <f>графік!F67</f>
        <v>16666.669999999998</v>
      </c>
      <c r="G68" s="61">
        <f ca="1">графік!G67</f>
        <v>5707.38</v>
      </c>
      <c r="H68" s="61" t="str">
        <f>графік!M67</f>
        <v/>
      </c>
      <c r="I68" s="61" t="str">
        <f>графік!N67</f>
        <v/>
      </c>
      <c r="J68" s="61" t="str">
        <f>графік!O67</f>
        <v/>
      </c>
      <c r="K68" s="61"/>
      <c r="L68" s="61" t="str">
        <f>графік!I67</f>
        <v/>
      </c>
      <c r="M68" s="61" t="str">
        <f>графік!J67</f>
        <v/>
      </c>
      <c r="N68" s="61" t="str">
        <f>графік!K67</f>
        <v/>
      </c>
      <c r="O68" s="61" t="str">
        <f>графік!L67</f>
        <v/>
      </c>
      <c r="P68" s="70" t="str">
        <f>графік!Q67</f>
        <v/>
      </c>
      <c r="Q68" s="61" t="str">
        <f t="shared" ca="1" si="0"/>
        <v xml:space="preserve"> </v>
      </c>
    </row>
    <row r="69" spans="1:17" x14ac:dyDescent="0.35">
      <c r="A69" s="57">
        <f>графік!A68</f>
        <v>40</v>
      </c>
      <c r="B69" s="63">
        <f ca="1">графік!C68</f>
        <v>45444</v>
      </c>
      <c r="C69" s="59">
        <f ca="1">графік!D68</f>
        <v>31</v>
      </c>
      <c r="D69" s="60">
        <f>графік!E68</f>
        <v>333333.20333333244</v>
      </c>
      <c r="E69" s="61">
        <f ca="1">графік!H68</f>
        <v>22296.219999999998</v>
      </c>
      <c r="F69" s="60">
        <f>графік!F68</f>
        <v>16666.669999999998</v>
      </c>
      <c r="G69" s="61">
        <f ca="1">графік!G68</f>
        <v>5629.55</v>
      </c>
      <c r="H69" s="61" t="str">
        <f>графік!M68</f>
        <v/>
      </c>
      <c r="I69" s="61" t="str">
        <f>графік!N68</f>
        <v/>
      </c>
      <c r="J69" s="61" t="str">
        <f>графік!O68</f>
        <v/>
      </c>
      <c r="K69" s="61"/>
      <c r="L69" s="61" t="str">
        <f>графік!I68</f>
        <v/>
      </c>
      <c r="M69" s="61" t="str">
        <f>графік!J68</f>
        <v/>
      </c>
      <c r="N69" s="61" t="str">
        <f>графік!K68</f>
        <v/>
      </c>
      <c r="O69" s="61" t="str">
        <f>графік!L68</f>
        <v/>
      </c>
      <c r="P69" s="70" t="str">
        <f>графік!Q68</f>
        <v/>
      </c>
      <c r="Q69" s="61" t="str">
        <f t="shared" ca="1" si="0"/>
        <v xml:space="preserve"> </v>
      </c>
    </row>
    <row r="70" spans="1:17" x14ac:dyDescent="0.35">
      <c r="A70" s="57">
        <f>графік!A69</f>
        <v>41</v>
      </c>
      <c r="B70" s="63">
        <f ca="1">графік!C69</f>
        <v>45474</v>
      </c>
      <c r="C70" s="59">
        <f ca="1">графік!D69</f>
        <v>30</v>
      </c>
      <c r="D70" s="60">
        <f>графік!E69</f>
        <v>316666.53333333245</v>
      </c>
      <c r="E70" s="61">
        <f ca="1">графік!H69</f>
        <v>21855.19</v>
      </c>
      <c r="F70" s="60">
        <f>графік!F69</f>
        <v>16666.669999999998</v>
      </c>
      <c r="G70" s="61">
        <f ca="1">графік!G69</f>
        <v>5188.5200000000004</v>
      </c>
      <c r="H70" s="61" t="str">
        <f>графік!M69</f>
        <v/>
      </c>
      <c r="I70" s="61" t="str">
        <f>графік!N69</f>
        <v/>
      </c>
      <c r="J70" s="61" t="str">
        <f>графік!O69</f>
        <v/>
      </c>
      <c r="K70" s="61"/>
      <c r="L70" s="61" t="str">
        <f>графік!I69</f>
        <v/>
      </c>
      <c r="M70" s="61" t="str">
        <f>графік!J69</f>
        <v/>
      </c>
      <c r="N70" s="61" t="str">
        <f>графік!K69</f>
        <v/>
      </c>
      <c r="O70" s="61" t="str">
        <f>графік!L69</f>
        <v/>
      </c>
      <c r="P70" s="70" t="str">
        <f>графік!Q69</f>
        <v/>
      </c>
      <c r="Q70" s="61" t="str">
        <f t="shared" ca="1" si="0"/>
        <v xml:space="preserve"> </v>
      </c>
    </row>
    <row r="71" spans="1:17" x14ac:dyDescent="0.35">
      <c r="A71" s="57">
        <f>графік!A70</f>
        <v>42</v>
      </c>
      <c r="B71" s="63">
        <f ca="1">графік!C70</f>
        <v>45505</v>
      </c>
      <c r="C71" s="59">
        <f ca="1">графік!D70</f>
        <v>31</v>
      </c>
      <c r="D71" s="60">
        <f>графік!E70</f>
        <v>299999.86333333247</v>
      </c>
      <c r="E71" s="61">
        <f ca="1">графік!H70</f>
        <v>21760.07</v>
      </c>
      <c r="F71" s="60">
        <f>графік!F70</f>
        <v>16666.669999999998</v>
      </c>
      <c r="G71" s="61">
        <f ca="1">графік!G70</f>
        <v>5093.3999999999996</v>
      </c>
      <c r="H71" s="61" t="str">
        <f>графік!M70</f>
        <v/>
      </c>
      <c r="I71" s="61" t="str">
        <f>графік!N70</f>
        <v/>
      </c>
      <c r="J71" s="61" t="str">
        <f>графік!O70</f>
        <v/>
      </c>
      <c r="K71" s="61"/>
      <c r="L71" s="61" t="str">
        <f>графік!I70</f>
        <v/>
      </c>
      <c r="M71" s="61" t="str">
        <f>графік!J70</f>
        <v/>
      </c>
      <c r="N71" s="61" t="str">
        <f>графік!K70</f>
        <v/>
      </c>
      <c r="O71" s="61" t="str">
        <f>графік!L70</f>
        <v/>
      </c>
      <c r="P71" s="70" t="str">
        <f>графік!Q70</f>
        <v/>
      </c>
      <c r="Q71" s="61" t="str">
        <f t="shared" ca="1" si="0"/>
        <v xml:space="preserve"> </v>
      </c>
    </row>
    <row r="72" spans="1:17" x14ac:dyDescent="0.35">
      <c r="A72" s="57">
        <f>графік!A71</f>
        <v>43</v>
      </c>
      <c r="B72" s="63">
        <f ca="1">графік!C71</f>
        <v>45536</v>
      </c>
      <c r="C72" s="59">
        <f ca="1">графік!D71</f>
        <v>31</v>
      </c>
      <c r="D72" s="60">
        <f>графік!E71</f>
        <v>283333.19333333249</v>
      </c>
      <c r="E72" s="61">
        <f ca="1">графік!H71</f>
        <v>21492</v>
      </c>
      <c r="F72" s="60">
        <f>графік!F71</f>
        <v>16666.669999999998</v>
      </c>
      <c r="G72" s="61">
        <f ca="1">графік!G71</f>
        <v>4825.33</v>
      </c>
      <c r="H72" s="61" t="str">
        <f>графік!M71</f>
        <v/>
      </c>
      <c r="I72" s="61" t="str">
        <f>графік!N71</f>
        <v/>
      </c>
      <c r="J72" s="61" t="str">
        <f>графік!O71</f>
        <v/>
      </c>
      <c r="K72" s="61"/>
      <c r="L72" s="61" t="str">
        <f>графік!I71</f>
        <v/>
      </c>
      <c r="M72" s="61" t="str">
        <f>графік!J71</f>
        <v/>
      </c>
      <c r="N72" s="61" t="str">
        <f>графік!K71</f>
        <v/>
      </c>
      <c r="O72" s="61" t="str">
        <f>графік!L71</f>
        <v/>
      </c>
      <c r="P72" s="70" t="str">
        <f>графік!Q71</f>
        <v/>
      </c>
      <c r="Q72" s="61" t="str">
        <f t="shared" ca="1" si="0"/>
        <v xml:space="preserve"> </v>
      </c>
    </row>
    <row r="73" spans="1:17" x14ac:dyDescent="0.35">
      <c r="A73" s="57">
        <f>графік!A72</f>
        <v>44</v>
      </c>
      <c r="B73" s="63">
        <f ca="1">графік!C72</f>
        <v>45566</v>
      </c>
      <c r="C73" s="59">
        <f ca="1">графік!D72</f>
        <v>30</v>
      </c>
      <c r="D73" s="60">
        <f>графік!E72</f>
        <v>266666.5233333325</v>
      </c>
      <c r="E73" s="61">
        <f ca="1">графік!H72</f>
        <v>21076.909999999996</v>
      </c>
      <c r="F73" s="60">
        <f>графік!F72</f>
        <v>16666.669999999998</v>
      </c>
      <c r="G73" s="61">
        <f ca="1">графік!G72</f>
        <v>4410.24</v>
      </c>
      <c r="H73" s="61" t="str">
        <f>графік!M72</f>
        <v/>
      </c>
      <c r="I73" s="61" t="str">
        <f>графік!N72</f>
        <v/>
      </c>
      <c r="J73" s="61" t="str">
        <f>графік!O72</f>
        <v/>
      </c>
      <c r="K73" s="61"/>
      <c r="L73" s="61" t="str">
        <f>графік!I72</f>
        <v/>
      </c>
      <c r="M73" s="61" t="str">
        <f>графік!J72</f>
        <v/>
      </c>
      <c r="N73" s="61" t="str">
        <f>графік!K72</f>
        <v/>
      </c>
      <c r="O73" s="61" t="str">
        <f>графік!L72</f>
        <v/>
      </c>
      <c r="P73" s="70" t="str">
        <f>графік!Q72</f>
        <v/>
      </c>
      <c r="Q73" s="61" t="str">
        <f t="shared" ca="1" si="0"/>
        <v xml:space="preserve"> </v>
      </c>
    </row>
    <row r="74" spans="1:17" x14ac:dyDescent="0.35">
      <c r="A74" s="57">
        <f>графік!A73</f>
        <v>45</v>
      </c>
      <c r="B74" s="63">
        <f ca="1">графік!C73</f>
        <v>45597</v>
      </c>
      <c r="C74" s="59">
        <f ca="1">графік!D73</f>
        <v>31</v>
      </c>
      <c r="D74" s="60">
        <f>графік!E73</f>
        <v>249999.85333333252</v>
      </c>
      <c r="E74" s="61">
        <f ca="1">графік!H73</f>
        <v>20955.849999999999</v>
      </c>
      <c r="F74" s="60">
        <f>графік!F73</f>
        <v>16666.669999999998</v>
      </c>
      <c r="G74" s="61">
        <f ca="1">графік!G73</f>
        <v>4289.18</v>
      </c>
      <c r="H74" s="61" t="str">
        <f>графік!M73</f>
        <v/>
      </c>
      <c r="I74" s="61" t="str">
        <f>графік!N73</f>
        <v/>
      </c>
      <c r="J74" s="61" t="str">
        <f>графік!O73</f>
        <v/>
      </c>
      <c r="K74" s="61"/>
      <c r="L74" s="61" t="str">
        <f>графік!I73</f>
        <v/>
      </c>
      <c r="M74" s="61" t="str">
        <f>графік!J73</f>
        <v/>
      </c>
      <c r="N74" s="61" t="str">
        <f>графік!K73</f>
        <v/>
      </c>
      <c r="O74" s="61" t="str">
        <f>графік!L73</f>
        <v/>
      </c>
      <c r="P74" s="70" t="str">
        <f>графік!Q73</f>
        <v/>
      </c>
      <c r="Q74" s="61" t="str">
        <f t="shared" ca="1" si="0"/>
        <v xml:space="preserve"> </v>
      </c>
    </row>
    <row r="75" spans="1:17" x14ac:dyDescent="0.35">
      <c r="A75" s="57">
        <f>графік!A74</f>
        <v>46</v>
      </c>
      <c r="B75" s="63">
        <f ca="1">графік!C74</f>
        <v>45627</v>
      </c>
      <c r="C75" s="59">
        <f ca="1">графік!D74</f>
        <v>30</v>
      </c>
      <c r="D75" s="60">
        <f>графік!E74</f>
        <v>233333.18333333253</v>
      </c>
      <c r="E75" s="61">
        <f ca="1">графік!H74</f>
        <v>20558.059999999998</v>
      </c>
      <c r="F75" s="60">
        <f>графік!F74</f>
        <v>16666.669999999998</v>
      </c>
      <c r="G75" s="61">
        <f ca="1">графік!G74</f>
        <v>3891.39</v>
      </c>
      <c r="H75" s="61" t="str">
        <f>графік!M74</f>
        <v/>
      </c>
      <c r="I75" s="61" t="str">
        <f>графік!N74</f>
        <v/>
      </c>
      <c r="J75" s="61" t="str">
        <f>графік!O74</f>
        <v/>
      </c>
      <c r="K75" s="61"/>
      <c r="L75" s="61" t="str">
        <f>графік!I74</f>
        <v/>
      </c>
      <c r="M75" s="61" t="str">
        <f>графік!J74</f>
        <v/>
      </c>
      <c r="N75" s="61" t="str">
        <f>графік!K74</f>
        <v/>
      </c>
      <c r="O75" s="61" t="str">
        <f>графік!L74</f>
        <v/>
      </c>
      <c r="P75" s="70" t="str">
        <f>графік!Q74</f>
        <v/>
      </c>
      <c r="Q75" s="61" t="str">
        <f t="shared" ca="1" si="0"/>
        <v xml:space="preserve"> </v>
      </c>
    </row>
    <row r="76" spans="1:17" x14ac:dyDescent="0.35">
      <c r="A76" s="57">
        <f>графік!A75</f>
        <v>47</v>
      </c>
      <c r="B76" s="63">
        <f ca="1">графік!C75</f>
        <v>45658</v>
      </c>
      <c r="C76" s="59">
        <f ca="1">графік!D75</f>
        <v>31</v>
      </c>
      <c r="D76" s="60">
        <f>графік!E75</f>
        <v>216666.51333333255</v>
      </c>
      <c r="E76" s="61">
        <f ca="1">графік!H75</f>
        <v>20419.699999999997</v>
      </c>
      <c r="F76" s="60">
        <f>графік!F75</f>
        <v>16666.669999999998</v>
      </c>
      <c r="G76" s="61">
        <f ca="1">графік!G75</f>
        <v>3753.03</v>
      </c>
      <c r="H76" s="61" t="str">
        <f>графік!M75</f>
        <v/>
      </c>
      <c r="I76" s="61" t="str">
        <f>графік!N75</f>
        <v/>
      </c>
      <c r="J76" s="61" t="str">
        <f>графік!O75</f>
        <v/>
      </c>
      <c r="K76" s="61"/>
      <c r="L76" s="61" t="str">
        <f>графік!I75</f>
        <v/>
      </c>
      <c r="M76" s="61" t="str">
        <f>графік!J75</f>
        <v/>
      </c>
      <c r="N76" s="61" t="str">
        <f>графік!K75</f>
        <v/>
      </c>
      <c r="O76" s="61" t="str">
        <f>графік!L75</f>
        <v/>
      </c>
      <c r="P76" s="70" t="str">
        <f>графік!Q75</f>
        <v/>
      </c>
      <c r="Q76" s="61" t="str">
        <f t="shared" ca="1" si="0"/>
        <v xml:space="preserve"> </v>
      </c>
    </row>
    <row r="77" spans="1:17" x14ac:dyDescent="0.35">
      <c r="A77" s="57">
        <f>графік!A76</f>
        <v>48</v>
      </c>
      <c r="B77" s="63">
        <f ca="1">графік!C76</f>
        <v>45689</v>
      </c>
      <c r="C77" s="59">
        <f ca="1">графік!D76</f>
        <v>31</v>
      </c>
      <c r="D77" s="60">
        <f>графік!E76</f>
        <v>199999.84333333257</v>
      </c>
      <c r="E77" s="61">
        <f ca="1">графік!H76</f>
        <v>20161.169999999998</v>
      </c>
      <c r="F77" s="60">
        <f>графік!F76</f>
        <v>16666.669999999998</v>
      </c>
      <c r="G77" s="61">
        <f ca="1">графік!G76</f>
        <v>3494.5</v>
      </c>
      <c r="H77" s="61" t="str">
        <f>графік!M76</f>
        <v/>
      </c>
      <c r="I77" s="61" t="str">
        <f>графік!N76</f>
        <v/>
      </c>
      <c r="J77" s="61" t="str">
        <f>графік!O76</f>
        <v/>
      </c>
      <c r="K77" s="61"/>
      <c r="L77" s="61" t="str">
        <f>графік!I76</f>
        <v/>
      </c>
      <c r="M77" s="61" t="str">
        <f>графік!J76</f>
        <v/>
      </c>
      <c r="N77" s="61" t="str">
        <f>графік!K76</f>
        <v/>
      </c>
      <c r="O77" s="61" t="str">
        <f>графік!L76</f>
        <v/>
      </c>
      <c r="P77" s="70" t="str">
        <f>графік!Q76</f>
        <v/>
      </c>
      <c r="Q77" s="61" t="str">
        <f t="shared" ca="1" si="0"/>
        <v xml:space="preserve"> </v>
      </c>
    </row>
    <row r="78" spans="1:17" x14ac:dyDescent="0.35">
      <c r="A78" s="57">
        <f>графік!A77</f>
        <v>49</v>
      </c>
      <c r="B78" s="63">
        <f ca="1">графік!C77</f>
        <v>45717</v>
      </c>
      <c r="C78" s="59">
        <f ca="1">графік!D77</f>
        <v>28</v>
      </c>
      <c r="D78" s="60">
        <f>графік!E77</f>
        <v>183333.17333333258</v>
      </c>
      <c r="E78" s="61">
        <f ca="1">графік!H77</f>
        <v>19580.199999999997</v>
      </c>
      <c r="F78" s="60">
        <f>графік!F77</f>
        <v>16666.669999999998</v>
      </c>
      <c r="G78" s="61">
        <f ca="1">графік!G77</f>
        <v>2913.53</v>
      </c>
      <c r="H78" s="61" t="str">
        <f>графік!M77</f>
        <v/>
      </c>
      <c r="I78" s="61" t="str">
        <f>графік!N77</f>
        <v/>
      </c>
      <c r="J78" s="61">
        <f>графік!O77</f>
        <v>2500</v>
      </c>
      <c r="K78" s="61"/>
      <c r="L78" s="61" t="str">
        <f>графік!I77</f>
        <v/>
      </c>
      <c r="M78" s="61" t="str">
        <f>графік!J77</f>
        <v/>
      </c>
      <c r="N78" s="61" t="str">
        <f>графік!K77</f>
        <v/>
      </c>
      <c r="O78" s="61" t="str">
        <f>графік!L77</f>
        <v/>
      </c>
      <c r="P78" s="70" t="str">
        <f>графік!Q77</f>
        <v/>
      </c>
      <c r="Q78" s="61" t="str">
        <f t="shared" ca="1" si="0"/>
        <v xml:space="preserve"> </v>
      </c>
    </row>
    <row r="79" spans="1:17" x14ac:dyDescent="0.35">
      <c r="A79" s="57">
        <f>графік!A78</f>
        <v>50</v>
      </c>
      <c r="B79" s="63">
        <f ca="1">графік!C78</f>
        <v>45748</v>
      </c>
      <c r="C79" s="59">
        <f ca="1">графік!D78</f>
        <v>31</v>
      </c>
      <c r="D79" s="60">
        <f>графік!E78</f>
        <v>166666.5033333326</v>
      </c>
      <c r="E79" s="61">
        <f ca="1">графік!H78</f>
        <v>19623.559999999998</v>
      </c>
      <c r="F79" s="60">
        <f>графік!F78</f>
        <v>16666.669999999998</v>
      </c>
      <c r="G79" s="61">
        <f ca="1">графік!G78</f>
        <v>2956.89</v>
      </c>
      <c r="H79" s="61" t="str">
        <f>графік!M78</f>
        <v/>
      </c>
      <c r="I79" s="61" t="str">
        <f>графік!N78</f>
        <v/>
      </c>
      <c r="J79" s="61" t="str">
        <f>графік!O78</f>
        <v/>
      </c>
      <c r="K79" s="61"/>
      <c r="L79" s="61" t="str">
        <f>графік!I78</f>
        <v/>
      </c>
      <c r="M79" s="61" t="str">
        <f>графік!J78</f>
        <v/>
      </c>
      <c r="N79" s="61" t="str">
        <f>графік!K78</f>
        <v/>
      </c>
      <c r="O79" s="61" t="str">
        <f>графік!L78</f>
        <v/>
      </c>
      <c r="P79" s="70" t="str">
        <f>графік!Q78</f>
        <v/>
      </c>
      <c r="Q79" s="61" t="str">
        <f t="shared" ca="1" si="0"/>
        <v xml:space="preserve"> </v>
      </c>
    </row>
    <row r="80" spans="1:17" x14ac:dyDescent="0.35">
      <c r="A80" s="57">
        <f>графік!A79</f>
        <v>51</v>
      </c>
      <c r="B80" s="63">
        <f ca="1">графік!C79</f>
        <v>45778</v>
      </c>
      <c r="C80" s="59">
        <f ca="1">графік!D79</f>
        <v>30</v>
      </c>
      <c r="D80" s="60">
        <f>графік!E79</f>
        <v>149999.83333333262</v>
      </c>
      <c r="E80" s="61">
        <f ca="1">графік!H79</f>
        <v>19268.039999999997</v>
      </c>
      <c r="F80" s="60">
        <f>графік!F79</f>
        <v>16666.669999999998</v>
      </c>
      <c r="G80" s="61">
        <f ca="1">графік!G79</f>
        <v>2601.37</v>
      </c>
      <c r="H80" s="61" t="str">
        <f>графік!M79</f>
        <v/>
      </c>
      <c r="I80" s="61" t="str">
        <f>графік!N79</f>
        <v/>
      </c>
      <c r="J80" s="61" t="str">
        <f>графік!O79</f>
        <v/>
      </c>
      <c r="K80" s="61"/>
      <c r="L80" s="61" t="str">
        <f>графік!I79</f>
        <v/>
      </c>
      <c r="M80" s="61" t="str">
        <f>графік!J79</f>
        <v/>
      </c>
      <c r="N80" s="61" t="str">
        <f>графік!K79</f>
        <v/>
      </c>
      <c r="O80" s="61" t="str">
        <f>графік!L79</f>
        <v/>
      </c>
      <c r="P80" s="70" t="str">
        <f>графік!Q79</f>
        <v/>
      </c>
      <c r="Q80" s="61" t="str">
        <f t="shared" ca="1" si="0"/>
        <v xml:space="preserve"> </v>
      </c>
    </row>
    <row r="81" spans="1:17" x14ac:dyDescent="0.35">
      <c r="A81" s="57">
        <f>графік!A80</f>
        <v>52</v>
      </c>
      <c r="B81" s="63">
        <f ca="1">графік!C80</f>
        <v>45809</v>
      </c>
      <c r="C81" s="59">
        <f ca="1">графік!D80</f>
        <v>31</v>
      </c>
      <c r="D81" s="60">
        <f>графік!E80</f>
        <v>133333.16333333263</v>
      </c>
      <c r="E81" s="61">
        <f ca="1">графік!H80</f>
        <v>19085.939999999999</v>
      </c>
      <c r="F81" s="60">
        <f>графік!F80</f>
        <v>16666.669999999998</v>
      </c>
      <c r="G81" s="61">
        <f ca="1">графік!G80</f>
        <v>2419.27</v>
      </c>
      <c r="H81" s="61" t="str">
        <f>графік!M80</f>
        <v/>
      </c>
      <c r="I81" s="61" t="str">
        <f>графік!N80</f>
        <v/>
      </c>
      <c r="J81" s="61" t="str">
        <f>графік!O80</f>
        <v/>
      </c>
      <c r="K81" s="61"/>
      <c r="L81" s="61" t="str">
        <f>графік!I80</f>
        <v/>
      </c>
      <c r="M81" s="61" t="str">
        <f>графік!J80</f>
        <v/>
      </c>
      <c r="N81" s="61" t="str">
        <f>графік!K80</f>
        <v/>
      </c>
      <c r="O81" s="61" t="str">
        <f>графік!L80</f>
        <v/>
      </c>
      <c r="P81" s="70" t="str">
        <f>графік!Q80</f>
        <v/>
      </c>
      <c r="Q81" s="61" t="str">
        <f t="shared" ca="1" si="0"/>
        <v xml:space="preserve"> </v>
      </c>
    </row>
    <row r="82" spans="1:17" x14ac:dyDescent="0.35">
      <c r="A82" s="57">
        <f>графік!A81</f>
        <v>53</v>
      </c>
      <c r="B82" s="63">
        <f ca="1">графік!C81</f>
        <v>45839</v>
      </c>
      <c r="C82" s="59">
        <f ca="1">графік!D81</f>
        <v>30</v>
      </c>
      <c r="D82" s="60">
        <f>графік!E81</f>
        <v>116666.49333333263</v>
      </c>
      <c r="E82" s="61">
        <f ca="1">графік!H81</f>
        <v>18747.759999999998</v>
      </c>
      <c r="F82" s="60">
        <f>графік!F81</f>
        <v>16666.669999999998</v>
      </c>
      <c r="G82" s="61">
        <f ca="1">графік!G81</f>
        <v>2081.09</v>
      </c>
      <c r="H82" s="61" t="str">
        <f>графік!M81</f>
        <v/>
      </c>
      <c r="I82" s="61" t="str">
        <f>графік!N81</f>
        <v/>
      </c>
      <c r="J82" s="61" t="str">
        <f>графік!O81</f>
        <v/>
      </c>
      <c r="K82" s="61"/>
      <c r="L82" s="61" t="str">
        <f>графік!I81</f>
        <v/>
      </c>
      <c r="M82" s="61" t="str">
        <f>графік!J81</f>
        <v/>
      </c>
      <c r="N82" s="61" t="str">
        <f>графік!K81</f>
        <v/>
      </c>
      <c r="O82" s="61" t="str">
        <f>графік!L81</f>
        <v/>
      </c>
      <c r="P82" s="70" t="str">
        <f>графік!Q81</f>
        <v/>
      </c>
      <c r="Q82" s="61" t="str">
        <f t="shared" ca="1" si="0"/>
        <v xml:space="preserve"> </v>
      </c>
    </row>
    <row r="83" spans="1:17" x14ac:dyDescent="0.35">
      <c r="A83" s="57">
        <f>графік!A82</f>
        <v>54</v>
      </c>
      <c r="B83" s="63">
        <f ca="1">графік!C82</f>
        <v>45870</v>
      </c>
      <c r="C83" s="59">
        <f ca="1">графік!D82</f>
        <v>31</v>
      </c>
      <c r="D83" s="60">
        <f>графік!E82</f>
        <v>99999.823333332635</v>
      </c>
      <c r="E83" s="61">
        <f ca="1">графік!H82</f>
        <v>18548.32</v>
      </c>
      <c r="F83" s="60">
        <f>графік!F82</f>
        <v>16666.669999999998</v>
      </c>
      <c r="G83" s="61">
        <f ca="1">графік!G82</f>
        <v>1881.65</v>
      </c>
      <c r="H83" s="61" t="str">
        <f>графік!M82</f>
        <v/>
      </c>
      <c r="I83" s="61" t="str">
        <f>графік!N82</f>
        <v/>
      </c>
      <c r="J83" s="61" t="str">
        <f>графік!O82</f>
        <v/>
      </c>
      <c r="K83" s="61"/>
      <c r="L83" s="61" t="str">
        <f>графік!I82</f>
        <v/>
      </c>
      <c r="M83" s="61" t="str">
        <f>графік!J82</f>
        <v/>
      </c>
      <c r="N83" s="61" t="str">
        <f>графік!K82</f>
        <v/>
      </c>
      <c r="O83" s="61" t="str">
        <f>графік!L82</f>
        <v/>
      </c>
      <c r="P83" s="70" t="str">
        <f>графік!Q82</f>
        <v/>
      </c>
      <c r="Q83" s="61" t="str">
        <f t="shared" ca="1" si="0"/>
        <v xml:space="preserve"> </v>
      </c>
    </row>
    <row r="84" spans="1:17" x14ac:dyDescent="0.35">
      <c r="A84" s="57">
        <f>графік!A83</f>
        <v>55</v>
      </c>
      <c r="B84" s="63">
        <f ca="1">графік!C83</f>
        <v>45901</v>
      </c>
      <c r="C84" s="59">
        <f ca="1">графік!D83</f>
        <v>31</v>
      </c>
      <c r="D84" s="60">
        <f>графік!E83</f>
        <v>83333.153333332637</v>
      </c>
      <c r="E84" s="61">
        <f ca="1">графік!H83</f>
        <v>18279.519999999997</v>
      </c>
      <c r="F84" s="60">
        <f>графік!F83</f>
        <v>16666.669999999998</v>
      </c>
      <c r="G84" s="61">
        <f ca="1">графік!G83</f>
        <v>1612.85</v>
      </c>
      <c r="H84" s="61" t="str">
        <f>графік!M83</f>
        <v/>
      </c>
      <c r="I84" s="61" t="str">
        <f>графік!N83</f>
        <v/>
      </c>
      <c r="J84" s="61" t="str">
        <f>графік!O83</f>
        <v/>
      </c>
      <c r="K84" s="61"/>
      <c r="L84" s="61" t="str">
        <f>графік!I83</f>
        <v/>
      </c>
      <c r="M84" s="61" t="str">
        <f>графік!J83</f>
        <v/>
      </c>
      <c r="N84" s="61" t="str">
        <f>графік!K83</f>
        <v/>
      </c>
      <c r="O84" s="61" t="str">
        <f>графік!L83</f>
        <v/>
      </c>
      <c r="P84" s="70" t="str">
        <f>графік!Q83</f>
        <v/>
      </c>
      <c r="Q84" s="61" t="str">
        <f t="shared" ca="1" si="0"/>
        <v xml:space="preserve"> </v>
      </c>
    </row>
    <row r="85" spans="1:17" x14ac:dyDescent="0.35">
      <c r="A85" s="57">
        <f>графік!A84</f>
        <v>56</v>
      </c>
      <c r="B85" s="63">
        <f ca="1">графік!C84</f>
        <v>45931</v>
      </c>
      <c r="C85" s="59">
        <f ca="1">графік!D84</f>
        <v>30</v>
      </c>
      <c r="D85" s="60">
        <f>графік!E84</f>
        <v>66666.483333332639</v>
      </c>
      <c r="E85" s="61">
        <f ca="1">графік!H84</f>
        <v>17967.349999999999</v>
      </c>
      <c r="F85" s="60">
        <f>графік!F84</f>
        <v>16666.669999999998</v>
      </c>
      <c r="G85" s="61">
        <f ca="1">графік!G84</f>
        <v>1300.68</v>
      </c>
      <c r="H85" s="61" t="str">
        <f>графік!M84</f>
        <v/>
      </c>
      <c r="I85" s="61" t="str">
        <f>графік!N84</f>
        <v/>
      </c>
      <c r="J85" s="61" t="str">
        <f>графік!O84</f>
        <v/>
      </c>
      <c r="K85" s="61"/>
      <c r="L85" s="61" t="str">
        <f>графік!I84</f>
        <v/>
      </c>
      <c r="M85" s="61" t="str">
        <f>графік!J84</f>
        <v/>
      </c>
      <c r="N85" s="61" t="str">
        <f>графік!K84</f>
        <v/>
      </c>
      <c r="O85" s="61" t="str">
        <f>графік!L84</f>
        <v/>
      </c>
      <c r="P85" s="70" t="str">
        <f>графік!Q84</f>
        <v/>
      </c>
      <c r="Q85" s="61" t="str">
        <f t="shared" ca="1" si="0"/>
        <v xml:space="preserve"> </v>
      </c>
    </row>
    <row r="86" spans="1:17" x14ac:dyDescent="0.35">
      <c r="A86" s="57">
        <f>графік!A85</f>
        <v>57</v>
      </c>
      <c r="B86" s="63">
        <f ca="1">графік!C85</f>
        <v>45962</v>
      </c>
      <c r="C86" s="59">
        <f ca="1">графік!D85</f>
        <v>31</v>
      </c>
      <c r="D86" s="60">
        <f>графік!E85</f>
        <v>49999.81333333264</v>
      </c>
      <c r="E86" s="61">
        <f ca="1">графік!H85</f>
        <v>17741.899999999998</v>
      </c>
      <c r="F86" s="60">
        <f>графік!F85</f>
        <v>16666.669999999998</v>
      </c>
      <c r="G86" s="61">
        <f ca="1">графік!G85</f>
        <v>1075.23</v>
      </c>
      <c r="H86" s="61" t="str">
        <f>графік!M85</f>
        <v/>
      </c>
      <c r="I86" s="61" t="str">
        <f>графік!N85</f>
        <v/>
      </c>
      <c r="J86" s="61" t="str">
        <f>графік!O85</f>
        <v/>
      </c>
      <c r="K86" s="61"/>
      <c r="L86" s="61" t="str">
        <f>графік!I85</f>
        <v/>
      </c>
      <c r="M86" s="61" t="str">
        <f>графік!J85</f>
        <v/>
      </c>
      <c r="N86" s="61" t="str">
        <f>графік!K85</f>
        <v/>
      </c>
      <c r="O86" s="61" t="str">
        <f>графік!L85</f>
        <v/>
      </c>
      <c r="P86" s="70" t="str">
        <f>графік!Q85</f>
        <v/>
      </c>
      <c r="Q86" s="61" t="str">
        <f t="shared" ca="1" si="0"/>
        <v xml:space="preserve"> </v>
      </c>
    </row>
    <row r="87" spans="1:17" x14ac:dyDescent="0.35">
      <c r="A87" s="57">
        <f>графік!A86</f>
        <v>58</v>
      </c>
      <c r="B87" s="63">
        <f ca="1">графік!C86</f>
        <v>45992</v>
      </c>
      <c r="C87" s="59">
        <f ca="1">графік!D86</f>
        <v>30</v>
      </c>
      <c r="D87" s="60">
        <f>графік!E86</f>
        <v>33333.143333332642</v>
      </c>
      <c r="E87" s="61">
        <f ca="1">графік!H86</f>
        <v>17447.079999999998</v>
      </c>
      <c r="F87" s="60">
        <f>графік!F86</f>
        <v>16666.669999999998</v>
      </c>
      <c r="G87" s="61">
        <f ca="1">графік!G86</f>
        <v>780.41</v>
      </c>
      <c r="H87" s="61" t="str">
        <f>графік!M86</f>
        <v/>
      </c>
      <c r="I87" s="61" t="str">
        <f>графік!N86</f>
        <v/>
      </c>
      <c r="J87" s="61" t="str">
        <f>графік!O86</f>
        <v/>
      </c>
      <c r="K87" s="61"/>
      <c r="L87" s="61" t="str">
        <f>графік!I86</f>
        <v/>
      </c>
      <c r="M87" s="61" t="str">
        <f>графік!J86</f>
        <v/>
      </c>
      <c r="N87" s="61" t="str">
        <f>графік!K86</f>
        <v/>
      </c>
      <c r="O87" s="61" t="str">
        <f>графік!L86</f>
        <v/>
      </c>
      <c r="P87" s="70" t="str">
        <f>графік!Q86</f>
        <v/>
      </c>
      <c r="Q87" s="61" t="str">
        <f t="shared" ca="1" si="0"/>
        <v xml:space="preserve"> </v>
      </c>
    </row>
    <row r="88" spans="1:17" x14ac:dyDescent="0.35">
      <c r="A88" s="57">
        <f>графік!A87</f>
        <v>59</v>
      </c>
      <c r="B88" s="63">
        <f ca="1">графік!C87</f>
        <v>46023</v>
      </c>
      <c r="C88" s="59">
        <f ca="1">графік!D87</f>
        <v>31</v>
      </c>
      <c r="D88" s="60">
        <f>графік!E87</f>
        <v>16666.473333332644</v>
      </c>
      <c r="E88" s="61">
        <f ca="1">графік!H87</f>
        <v>17204.28</v>
      </c>
      <c r="F88" s="60">
        <f>графік!F87</f>
        <v>16666.669999999998</v>
      </c>
      <c r="G88" s="61">
        <f ca="1">графік!G87</f>
        <v>537.61</v>
      </c>
      <c r="H88" s="61" t="str">
        <f>графік!M87</f>
        <v/>
      </c>
      <c r="I88" s="61" t="str">
        <f>графік!N87</f>
        <v/>
      </c>
      <c r="J88" s="61" t="str">
        <f>графік!O87</f>
        <v/>
      </c>
      <c r="K88" s="61"/>
      <c r="L88" s="61" t="str">
        <f>графік!I87</f>
        <v/>
      </c>
      <c r="M88" s="61" t="str">
        <f>графік!J87</f>
        <v/>
      </c>
      <c r="N88" s="61" t="str">
        <f>графік!K87</f>
        <v/>
      </c>
      <c r="O88" s="61" t="str">
        <f>графік!L87</f>
        <v/>
      </c>
      <c r="P88" s="70" t="str">
        <f>графік!Q87</f>
        <v/>
      </c>
      <c r="Q88" s="61" t="str">
        <f t="shared" ca="1" si="0"/>
        <v xml:space="preserve"> </v>
      </c>
    </row>
    <row r="89" spans="1:17" x14ac:dyDescent="0.35">
      <c r="A89" s="57">
        <f>графік!A88</f>
        <v>60</v>
      </c>
      <c r="B89" s="63">
        <f ca="1">графік!C88</f>
        <v>46053</v>
      </c>
      <c r="C89" s="59">
        <f ca="1">графік!D88</f>
        <v>30</v>
      </c>
      <c r="D89" s="60">
        <f>графік!E88</f>
        <v>3.3333326719002798E-3</v>
      </c>
      <c r="E89" s="61">
        <f ca="1">графік!H88</f>
        <v>16926.599999999973</v>
      </c>
      <c r="F89" s="60">
        <f>графік!F88</f>
        <v>16666.469999999972</v>
      </c>
      <c r="G89" s="61">
        <f ca="1">графік!G88</f>
        <v>260.13</v>
      </c>
      <c r="H89" s="61" t="str">
        <f>графік!M88</f>
        <v/>
      </c>
      <c r="I89" s="61" t="str">
        <f>графік!N88</f>
        <v/>
      </c>
      <c r="J89" s="61" t="str">
        <f>графік!O88</f>
        <v/>
      </c>
      <c r="K89" s="61"/>
      <c r="L89" s="61" t="str">
        <f>графік!I88</f>
        <v/>
      </c>
      <c r="M89" s="61" t="str">
        <f>графік!J88</f>
        <v/>
      </c>
      <c r="N89" s="61" t="str">
        <f>графік!K88</f>
        <v/>
      </c>
      <c r="O89" s="61" t="str">
        <f>графік!L88</f>
        <v/>
      </c>
      <c r="P89" s="70" t="str">
        <f>графік!Q88</f>
        <v/>
      </c>
      <c r="Q89" s="61" t="str">
        <f t="shared" ca="1" si="0"/>
        <v xml:space="preserve"> </v>
      </c>
    </row>
    <row r="90" spans="1:17" x14ac:dyDescent="0.35">
      <c r="A90" s="57" t="s">
        <v>100</v>
      </c>
      <c r="B90" s="63" t="str">
        <f ca="1">графік!C89</f>
        <v xml:space="preserve"> </v>
      </c>
      <c r="C90" s="59" t="str">
        <f>графік!D89</f>
        <v/>
      </c>
      <c r="D90" s="60" t="str">
        <f>графік!E89</f>
        <v/>
      </c>
      <c r="E90" s="61">
        <f ca="1">графік!H89</f>
        <v>1436462.1966666668</v>
      </c>
      <c r="F90" s="60">
        <f>графік!F89</f>
        <v>1000000</v>
      </c>
      <c r="G90" s="61">
        <f ca="1">графік!G89</f>
        <v>436462.2</v>
      </c>
      <c r="H90" s="61">
        <f>графік!M89</f>
        <v>10000</v>
      </c>
      <c r="I90" s="61">
        <f>графік!N89</f>
        <v>0</v>
      </c>
      <c r="J90" s="61">
        <f>графік!O89</f>
        <v>12500</v>
      </c>
      <c r="K90" s="61"/>
      <c r="L90" s="61">
        <f>графік!I89</f>
        <v>0</v>
      </c>
      <c r="M90" s="61">
        <f>графік!J89</f>
        <v>0</v>
      </c>
      <c r="N90" s="61">
        <f>графік!K89</f>
        <v>59900</v>
      </c>
      <c r="O90" s="61">
        <f>графік!L89</f>
        <v>0</v>
      </c>
      <c r="P90" s="70">
        <f ca="1">графік!Q89</f>
        <v>0.2298145353794098</v>
      </c>
      <c r="Q90" s="61">
        <f ca="1">IF(B89=$E$9,E90+$K$29+$H$29+$I$29+$Q$9+$L$29+$M$29+$N$29+$O$29," ")</f>
        <v>1518543.1966666668</v>
      </c>
    </row>
    <row r="91" spans="1:17" hidden="1" x14ac:dyDescent="0.35">
      <c r="A91" s="57" t="str">
        <f>графік!A90</f>
        <v/>
      </c>
      <c r="B91" s="63" t="str">
        <f ca="1">графік!C90</f>
        <v xml:space="preserve"> </v>
      </c>
      <c r="C91" s="59" t="str">
        <f>графік!D90</f>
        <v/>
      </c>
      <c r="D91" s="60" t="str">
        <f>графік!E90</f>
        <v/>
      </c>
      <c r="E91" s="61" t="str">
        <f>графік!H90</f>
        <v/>
      </c>
      <c r="F91" s="60" t="str">
        <f>графік!F90</f>
        <v/>
      </c>
      <c r="G91" s="61" t="str">
        <f>графік!G90</f>
        <v/>
      </c>
      <c r="H91" s="61" t="str">
        <f>графік!M90</f>
        <v/>
      </c>
      <c r="I91" s="61"/>
      <c r="J91" s="61"/>
      <c r="K91" s="61"/>
      <c r="L91" s="61"/>
      <c r="M91" s="61"/>
      <c r="N91" s="61"/>
      <c r="O91" s="61"/>
      <c r="P91" s="70" t="str">
        <f>графік!Q90</f>
        <v/>
      </c>
      <c r="Q91" s="61" t="str">
        <f t="shared" ref="Q91:Q114" ca="1" si="1">IF(B90=$E$9,E91+$H$29," ")</f>
        <v xml:space="preserve"> </v>
      </c>
    </row>
    <row r="92" spans="1:17" hidden="1" x14ac:dyDescent="0.35">
      <c r="A92" s="57" t="str">
        <f>графік!A91</f>
        <v/>
      </c>
      <c r="B92" s="63" t="str">
        <f ca="1">графік!C91</f>
        <v xml:space="preserve"> </v>
      </c>
      <c r="C92" s="59" t="str">
        <f>графік!D91</f>
        <v/>
      </c>
      <c r="D92" s="60" t="str">
        <f>графік!E91</f>
        <v/>
      </c>
      <c r="E92" s="61" t="str">
        <f>графік!H91</f>
        <v/>
      </c>
      <c r="F92" s="60" t="str">
        <f>графік!F91</f>
        <v/>
      </c>
      <c r="G92" s="61" t="str">
        <f>графік!G91</f>
        <v/>
      </c>
      <c r="H92" s="61" t="str">
        <f>графік!M91</f>
        <v/>
      </c>
      <c r="I92" s="61"/>
      <c r="J92" s="61"/>
      <c r="K92" s="61"/>
      <c r="L92" s="61"/>
      <c r="M92" s="61"/>
      <c r="N92" s="61"/>
      <c r="O92" s="61"/>
      <c r="P92" s="70" t="str">
        <f>графік!Q91</f>
        <v/>
      </c>
      <c r="Q92" s="61" t="str">
        <f t="shared" ca="1" si="1"/>
        <v xml:space="preserve"> </v>
      </c>
    </row>
    <row r="93" spans="1:17" hidden="1" x14ac:dyDescent="0.35">
      <c r="A93" s="57" t="str">
        <f>графік!A92</f>
        <v/>
      </c>
      <c r="B93" s="63" t="str">
        <f ca="1">графік!C92</f>
        <v xml:space="preserve"> </v>
      </c>
      <c r="C93" s="59" t="str">
        <f>графік!D92</f>
        <v/>
      </c>
      <c r="D93" s="60" t="str">
        <f>графік!E92</f>
        <v/>
      </c>
      <c r="E93" s="61" t="str">
        <f>графік!H92</f>
        <v/>
      </c>
      <c r="F93" s="60" t="str">
        <f>графік!F92</f>
        <v/>
      </c>
      <c r="G93" s="61" t="str">
        <f>графік!G92</f>
        <v/>
      </c>
      <c r="H93" s="61" t="str">
        <f>графік!M92</f>
        <v/>
      </c>
      <c r="I93" s="61"/>
      <c r="J93" s="61"/>
      <c r="K93" s="61"/>
      <c r="L93" s="61"/>
      <c r="M93" s="61"/>
      <c r="N93" s="61"/>
      <c r="O93" s="61"/>
      <c r="P93" s="70" t="str">
        <f>графік!Q92</f>
        <v/>
      </c>
      <c r="Q93" s="61" t="str">
        <f t="shared" ca="1" si="1"/>
        <v xml:space="preserve"> </v>
      </c>
    </row>
    <row r="94" spans="1:17" hidden="1" x14ac:dyDescent="0.35">
      <c r="A94" s="57" t="str">
        <f>графік!A93</f>
        <v/>
      </c>
      <c r="B94" s="63" t="str">
        <f ca="1">графік!C93</f>
        <v xml:space="preserve"> </v>
      </c>
      <c r="C94" s="59" t="str">
        <f>графік!D93</f>
        <v/>
      </c>
      <c r="D94" s="60" t="str">
        <f>графік!E93</f>
        <v/>
      </c>
      <c r="E94" s="61" t="str">
        <f>графік!H93</f>
        <v/>
      </c>
      <c r="F94" s="60" t="str">
        <f>графік!F93</f>
        <v/>
      </c>
      <c r="G94" s="61" t="str">
        <f>графік!G93</f>
        <v/>
      </c>
      <c r="H94" s="61" t="str">
        <f>графік!M93</f>
        <v/>
      </c>
      <c r="I94" s="61"/>
      <c r="J94" s="61"/>
      <c r="K94" s="61"/>
      <c r="L94" s="61"/>
      <c r="M94" s="61"/>
      <c r="N94" s="61"/>
      <c r="O94" s="61"/>
      <c r="P94" s="70" t="str">
        <f>графік!Q93</f>
        <v/>
      </c>
      <c r="Q94" s="61" t="str">
        <f t="shared" ca="1" si="1"/>
        <v xml:space="preserve"> </v>
      </c>
    </row>
    <row r="95" spans="1:17" hidden="1" x14ac:dyDescent="0.35">
      <c r="A95" s="57" t="str">
        <f>графік!A94</f>
        <v/>
      </c>
      <c r="B95" s="63" t="str">
        <f ca="1">графік!C94</f>
        <v xml:space="preserve"> </v>
      </c>
      <c r="C95" s="59" t="str">
        <f>графік!D94</f>
        <v/>
      </c>
      <c r="D95" s="60" t="str">
        <f>графік!E94</f>
        <v/>
      </c>
      <c r="E95" s="61" t="str">
        <f>графік!H94</f>
        <v/>
      </c>
      <c r="F95" s="60" t="str">
        <f>графік!F94</f>
        <v/>
      </c>
      <c r="G95" s="61" t="str">
        <f>графік!G94</f>
        <v/>
      </c>
      <c r="H95" s="61" t="str">
        <f>графік!M94</f>
        <v/>
      </c>
      <c r="I95" s="61"/>
      <c r="J95" s="61"/>
      <c r="K95" s="61"/>
      <c r="L95" s="61"/>
      <c r="M95" s="61"/>
      <c r="N95" s="61"/>
      <c r="O95" s="61"/>
      <c r="P95" s="70" t="str">
        <f>графік!Q94</f>
        <v/>
      </c>
      <c r="Q95" s="61" t="str">
        <f t="shared" ca="1" si="1"/>
        <v xml:space="preserve"> </v>
      </c>
    </row>
    <row r="96" spans="1:17" hidden="1" x14ac:dyDescent="0.35">
      <c r="A96" s="57" t="str">
        <f>графік!A95</f>
        <v/>
      </c>
      <c r="B96" s="63" t="str">
        <f ca="1">графік!C95</f>
        <v xml:space="preserve"> </v>
      </c>
      <c r="C96" s="59" t="str">
        <f>графік!D95</f>
        <v/>
      </c>
      <c r="D96" s="60" t="str">
        <f>графік!E95</f>
        <v/>
      </c>
      <c r="E96" s="61" t="str">
        <f>графік!H95</f>
        <v/>
      </c>
      <c r="F96" s="60" t="str">
        <f>графік!F95</f>
        <v/>
      </c>
      <c r="G96" s="61" t="str">
        <f>графік!G95</f>
        <v/>
      </c>
      <c r="H96" s="61" t="str">
        <f>графік!M95</f>
        <v/>
      </c>
      <c r="I96" s="61"/>
      <c r="J96" s="61"/>
      <c r="K96" s="61"/>
      <c r="L96" s="61"/>
      <c r="M96" s="61"/>
      <c r="N96" s="61"/>
      <c r="O96" s="61"/>
      <c r="P96" s="70" t="str">
        <f>графік!Q95</f>
        <v/>
      </c>
      <c r="Q96" s="61" t="str">
        <f t="shared" ca="1" si="1"/>
        <v xml:space="preserve"> </v>
      </c>
    </row>
    <row r="97" spans="1:17" hidden="1" x14ac:dyDescent="0.35">
      <c r="A97" s="57" t="str">
        <f>графік!A96</f>
        <v/>
      </c>
      <c r="B97" s="63" t="str">
        <f ca="1">графік!C96</f>
        <v xml:space="preserve"> </v>
      </c>
      <c r="C97" s="59" t="str">
        <f>графік!D96</f>
        <v/>
      </c>
      <c r="D97" s="60" t="str">
        <f>графік!E96</f>
        <v/>
      </c>
      <c r="E97" s="61" t="str">
        <f>графік!H96</f>
        <v/>
      </c>
      <c r="F97" s="60" t="str">
        <f>графік!F96</f>
        <v/>
      </c>
      <c r="G97" s="61" t="str">
        <f>графік!G96</f>
        <v/>
      </c>
      <c r="H97" s="61" t="str">
        <f>графік!M96</f>
        <v/>
      </c>
      <c r="I97" s="61"/>
      <c r="J97" s="61"/>
      <c r="K97" s="61"/>
      <c r="L97" s="61"/>
      <c r="M97" s="61"/>
      <c r="N97" s="61"/>
      <c r="O97" s="61"/>
      <c r="P97" s="70" t="str">
        <f>графік!Q96</f>
        <v/>
      </c>
      <c r="Q97" s="61" t="str">
        <f t="shared" ca="1" si="1"/>
        <v xml:space="preserve"> </v>
      </c>
    </row>
    <row r="98" spans="1:17" hidden="1" x14ac:dyDescent="0.35">
      <c r="A98" s="57" t="str">
        <f>графік!A97</f>
        <v/>
      </c>
      <c r="B98" s="63" t="str">
        <f ca="1">графік!C97</f>
        <v xml:space="preserve"> </v>
      </c>
      <c r="C98" s="59" t="str">
        <f>графік!D97</f>
        <v/>
      </c>
      <c r="D98" s="60" t="str">
        <f>графік!E97</f>
        <v/>
      </c>
      <c r="E98" s="61" t="str">
        <f>графік!H97</f>
        <v/>
      </c>
      <c r="F98" s="60" t="str">
        <f>графік!F97</f>
        <v/>
      </c>
      <c r="G98" s="61" t="str">
        <f>графік!G97</f>
        <v/>
      </c>
      <c r="H98" s="61" t="str">
        <f>графік!M97</f>
        <v/>
      </c>
      <c r="I98" s="61"/>
      <c r="J98" s="61"/>
      <c r="K98" s="61"/>
      <c r="L98" s="61"/>
      <c r="M98" s="61"/>
      <c r="N98" s="61"/>
      <c r="O98" s="61"/>
      <c r="P98" s="70" t="str">
        <f>графік!Q97</f>
        <v/>
      </c>
      <c r="Q98" s="61" t="str">
        <f t="shared" ca="1" si="1"/>
        <v xml:space="preserve"> </v>
      </c>
    </row>
    <row r="99" spans="1:17" hidden="1" x14ac:dyDescent="0.35">
      <c r="A99" s="57" t="str">
        <f>графік!A98</f>
        <v/>
      </c>
      <c r="B99" s="63" t="str">
        <f ca="1">графік!C98</f>
        <v xml:space="preserve"> </v>
      </c>
      <c r="C99" s="59" t="str">
        <f>графік!D98</f>
        <v/>
      </c>
      <c r="D99" s="60" t="str">
        <f>графік!E98</f>
        <v/>
      </c>
      <c r="E99" s="61" t="str">
        <f>графік!H98</f>
        <v/>
      </c>
      <c r="F99" s="60" t="str">
        <f>графік!F98</f>
        <v/>
      </c>
      <c r="G99" s="61" t="str">
        <f>графік!G98</f>
        <v/>
      </c>
      <c r="H99" s="61" t="str">
        <f>графік!M98</f>
        <v/>
      </c>
      <c r="I99" s="61"/>
      <c r="J99" s="61"/>
      <c r="K99" s="61"/>
      <c r="L99" s="61"/>
      <c r="M99" s="61"/>
      <c r="N99" s="61"/>
      <c r="O99" s="61"/>
      <c r="P99" s="70" t="str">
        <f>графік!Q98</f>
        <v/>
      </c>
      <c r="Q99" s="61" t="str">
        <f t="shared" ca="1" si="1"/>
        <v xml:space="preserve"> </v>
      </c>
    </row>
    <row r="100" spans="1:17" hidden="1" x14ac:dyDescent="0.35">
      <c r="A100" s="57" t="str">
        <f>графік!A99</f>
        <v/>
      </c>
      <c r="B100" s="63" t="str">
        <f ca="1">графік!C99</f>
        <v xml:space="preserve"> </v>
      </c>
      <c r="C100" s="59" t="str">
        <f>графік!D99</f>
        <v/>
      </c>
      <c r="D100" s="60" t="str">
        <f>графік!E99</f>
        <v/>
      </c>
      <c r="E100" s="61" t="str">
        <f>графік!H99</f>
        <v/>
      </c>
      <c r="F100" s="60" t="str">
        <f>графік!F99</f>
        <v/>
      </c>
      <c r="G100" s="61" t="str">
        <f>графік!G99</f>
        <v/>
      </c>
      <c r="H100" s="61" t="str">
        <f>графік!M99</f>
        <v/>
      </c>
      <c r="I100" s="61"/>
      <c r="J100" s="61"/>
      <c r="K100" s="61"/>
      <c r="L100" s="61"/>
      <c r="M100" s="61"/>
      <c r="N100" s="61"/>
      <c r="O100" s="61"/>
      <c r="P100" s="70" t="str">
        <f>графік!Q99</f>
        <v/>
      </c>
      <c r="Q100" s="61" t="str">
        <f t="shared" ca="1" si="1"/>
        <v xml:space="preserve"> </v>
      </c>
    </row>
    <row r="101" spans="1:17" hidden="1" x14ac:dyDescent="0.35">
      <c r="A101" s="57" t="str">
        <f>графік!A100</f>
        <v/>
      </c>
      <c r="B101" s="63" t="str">
        <f ca="1">графік!C100</f>
        <v xml:space="preserve"> </v>
      </c>
      <c r="C101" s="59" t="str">
        <f>графік!D100</f>
        <v/>
      </c>
      <c r="D101" s="60" t="str">
        <f>графік!E100</f>
        <v/>
      </c>
      <c r="E101" s="61" t="str">
        <f>графік!H100</f>
        <v/>
      </c>
      <c r="F101" s="60" t="str">
        <f>графік!F100</f>
        <v/>
      </c>
      <c r="G101" s="61" t="str">
        <f>графік!G100</f>
        <v/>
      </c>
      <c r="H101" s="61" t="str">
        <f>графік!M100</f>
        <v/>
      </c>
      <c r="I101" s="61"/>
      <c r="J101" s="61"/>
      <c r="K101" s="61"/>
      <c r="L101" s="61"/>
      <c r="M101" s="61"/>
      <c r="N101" s="61"/>
      <c r="O101" s="61"/>
      <c r="P101" s="70" t="str">
        <f>графік!Q100</f>
        <v/>
      </c>
      <c r="Q101" s="61" t="str">
        <f t="shared" ca="1" si="1"/>
        <v xml:space="preserve"> </v>
      </c>
    </row>
    <row r="102" spans="1:17" hidden="1" x14ac:dyDescent="0.35">
      <c r="A102" s="57" t="str">
        <f>графік!A101</f>
        <v/>
      </c>
      <c r="B102" s="63" t="str">
        <f ca="1">графік!C101</f>
        <v xml:space="preserve"> </v>
      </c>
      <c r="C102" s="59" t="str">
        <f>графік!D101</f>
        <v/>
      </c>
      <c r="D102" s="60" t="str">
        <f>графік!E101</f>
        <v/>
      </c>
      <c r="E102" s="61" t="str">
        <f>графік!H101</f>
        <v/>
      </c>
      <c r="F102" s="60" t="str">
        <f>графік!F101</f>
        <v/>
      </c>
      <c r="G102" s="61" t="str">
        <f>графік!G101</f>
        <v/>
      </c>
      <c r="H102" s="61" t="str">
        <f>графік!M101</f>
        <v/>
      </c>
      <c r="I102" s="61"/>
      <c r="J102" s="61"/>
      <c r="K102" s="61"/>
      <c r="L102" s="61"/>
      <c r="M102" s="61"/>
      <c r="N102" s="61"/>
      <c r="O102" s="61"/>
      <c r="P102" s="70" t="str">
        <f>графік!Q101</f>
        <v/>
      </c>
      <c r="Q102" s="61" t="str">
        <f t="shared" ca="1" si="1"/>
        <v xml:space="preserve"> </v>
      </c>
    </row>
    <row r="103" spans="1:17" hidden="1" x14ac:dyDescent="0.35">
      <c r="A103" s="57" t="str">
        <f>графік!A102</f>
        <v/>
      </c>
      <c r="B103" s="63" t="str">
        <f ca="1">графік!C102</f>
        <v xml:space="preserve"> </v>
      </c>
      <c r="C103" s="59" t="str">
        <f>графік!D102</f>
        <v/>
      </c>
      <c r="D103" s="60" t="str">
        <f>графік!E102</f>
        <v/>
      </c>
      <c r="E103" s="61" t="str">
        <f>графік!H102</f>
        <v/>
      </c>
      <c r="F103" s="60" t="str">
        <f>графік!F102</f>
        <v/>
      </c>
      <c r="G103" s="61" t="str">
        <f>графік!G102</f>
        <v/>
      </c>
      <c r="H103" s="61" t="str">
        <f>графік!M102</f>
        <v/>
      </c>
      <c r="I103" s="61"/>
      <c r="J103" s="61"/>
      <c r="K103" s="61"/>
      <c r="L103" s="61"/>
      <c r="M103" s="61"/>
      <c r="N103" s="61"/>
      <c r="O103" s="61"/>
      <c r="P103" s="70" t="str">
        <f>графік!Q102</f>
        <v/>
      </c>
      <c r="Q103" s="61" t="str">
        <f t="shared" ca="1" si="1"/>
        <v xml:space="preserve"> </v>
      </c>
    </row>
    <row r="104" spans="1:17" hidden="1" x14ac:dyDescent="0.35">
      <c r="A104" s="57" t="str">
        <f>графік!A103</f>
        <v/>
      </c>
      <c r="B104" s="63" t="str">
        <f ca="1">графік!C103</f>
        <v xml:space="preserve"> </v>
      </c>
      <c r="C104" s="59" t="str">
        <f>графік!D103</f>
        <v/>
      </c>
      <c r="D104" s="60" t="str">
        <f>графік!E103</f>
        <v/>
      </c>
      <c r="E104" s="61" t="str">
        <f>графік!H103</f>
        <v/>
      </c>
      <c r="F104" s="60" t="str">
        <f>графік!F103</f>
        <v/>
      </c>
      <c r="G104" s="61" t="str">
        <f>графік!G103</f>
        <v/>
      </c>
      <c r="H104" s="61" t="str">
        <f>графік!M103</f>
        <v/>
      </c>
      <c r="I104" s="61"/>
      <c r="J104" s="61"/>
      <c r="K104" s="61"/>
      <c r="L104" s="61"/>
      <c r="M104" s="61"/>
      <c r="N104" s="61"/>
      <c r="O104" s="61"/>
      <c r="P104" s="70" t="str">
        <f>графік!Q103</f>
        <v/>
      </c>
      <c r="Q104" s="61" t="str">
        <f t="shared" ca="1" si="1"/>
        <v xml:space="preserve"> </v>
      </c>
    </row>
    <row r="105" spans="1:17" hidden="1" x14ac:dyDescent="0.35">
      <c r="A105" s="57" t="str">
        <f>графік!A104</f>
        <v/>
      </c>
      <c r="B105" s="63" t="str">
        <f ca="1">графік!C104</f>
        <v xml:space="preserve"> </v>
      </c>
      <c r="C105" s="59" t="str">
        <f>графік!D104</f>
        <v/>
      </c>
      <c r="D105" s="60" t="str">
        <f>графік!E104</f>
        <v/>
      </c>
      <c r="E105" s="61" t="str">
        <f>графік!H104</f>
        <v/>
      </c>
      <c r="F105" s="60" t="str">
        <f>графік!F104</f>
        <v/>
      </c>
      <c r="G105" s="61" t="str">
        <f>графік!G104</f>
        <v/>
      </c>
      <c r="H105" s="61" t="str">
        <f>графік!M104</f>
        <v/>
      </c>
      <c r="I105" s="61"/>
      <c r="J105" s="61"/>
      <c r="K105" s="61"/>
      <c r="L105" s="61"/>
      <c r="M105" s="61"/>
      <c r="N105" s="61"/>
      <c r="O105" s="61"/>
      <c r="P105" s="70" t="str">
        <f>графік!Q104</f>
        <v/>
      </c>
      <c r="Q105" s="61" t="str">
        <f t="shared" ca="1" si="1"/>
        <v xml:space="preserve"> </v>
      </c>
    </row>
    <row r="106" spans="1:17" hidden="1" x14ac:dyDescent="0.35">
      <c r="A106" s="57" t="str">
        <f>графік!A105</f>
        <v/>
      </c>
      <c r="B106" s="63" t="str">
        <f ca="1">графік!C105</f>
        <v xml:space="preserve"> </v>
      </c>
      <c r="C106" s="59" t="str">
        <f>графік!D105</f>
        <v/>
      </c>
      <c r="D106" s="60" t="str">
        <f>графік!E105</f>
        <v/>
      </c>
      <c r="E106" s="61" t="str">
        <f>графік!H105</f>
        <v/>
      </c>
      <c r="F106" s="60" t="str">
        <f>графік!F105</f>
        <v/>
      </c>
      <c r="G106" s="61" t="str">
        <f>графік!G105</f>
        <v/>
      </c>
      <c r="H106" s="61" t="str">
        <f>графік!M105</f>
        <v/>
      </c>
      <c r="I106" s="61"/>
      <c r="J106" s="61"/>
      <c r="K106" s="61"/>
      <c r="L106" s="61"/>
      <c r="M106" s="61"/>
      <c r="N106" s="61"/>
      <c r="O106" s="61"/>
      <c r="P106" s="70" t="str">
        <f>графік!Q105</f>
        <v/>
      </c>
      <c r="Q106" s="61" t="str">
        <f t="shared" ca="1" si="1"/>
        <v xml:space="preserve"> </v>
      </c>
    </row>
    <row r="107" spans="1:17" hidden="1" x14ac:dyDescent="0.35">
      <c r="A107" s="57" t="str">
        <f>графік!A106</f>
        <v/>
      </c>
      <c r="B107" s="63" t="str">
        <f ca="1">графік!C106</f>
        <v xml:space="preserve"> </v>
      </c>
      <c r="C107" s="59" t="str">
        <f>графік!D106</f>
        <v/>
      </c>
      <c r="D107" s="60" t="str">
        <f>графік!E106</f>
        <v/>
      </c>
      <c r="E107" s="61" t="str">
        <f>графік!H106</f>
        <v/>
      </c>
      <c r="F107" s="60" t="str">
        <f>графік!F106</f>
        <v/>
      </c>
      <c r="G107" s="61" t="str">
        <f>графік!G106</f>
        <v/>
      </c>
      <c r="H107" s="61" t="str">
        <f>графік!M106</f>
        <v/>
      </c>
      <c r="I107" s="61"/>
      <c r="J107" s="61"/>
      <c r="K107" s="61"/>
      <c r="L107" s="61"/>
      <c r="M107" s="61"/>
      <c r="N107" s="61"/>
      <c r="O107" s="61"/>
      <c r="P107" s="70" t="str">
        <f>графік!Q106</f>
        <v/>
      </c>
      <c r="Q107" s="61" t="str">
        <f t="shared" ca="1" si="1"/>
        <v xml:space="preserve"> </v>
      </c>
    </row>
    <row r="108" spans="1:17" hidden="1" x14ac:dyDescent="0.35">
      <c r="A108" s="57" t="str">
        <f>графік!A107</f>
        <v/>
      </c>
      <c r="B108" s="63" t="str">
        <f ca="1">графік!C107</f>
        <v xml:space="preserve"> </v>
      </c>
      <c r="C108" s="59" t="str">
        <f>графік!D107</f>
        <v/>
      </c>
      <c r="D108" s="60" t="str">
        <f>графік!E107</f>
        <v/>
      </c>
      <c r="E108" s="61" t="str">
        <f>графік!H107</f>
        <v/>
      </c>
      <c r="F108" s="60" t="str">
        <f>графік!F107</f>
        <v/>
      </c>
      <c r="G108" s="61" t="str">
        <f>графік!G107</f>
        <v/>
      </c>
      <c r="H108" s="61" t="str">
        <f>графік!M107</f>
        <v/>
      </c>
      <c r="I108" s="61"/>
      <c r="J108" s="61"/>
      <c r="K108" s="61"/>
      <c r="L108" s="61"/>
      <c r="M108" s="61"/>
      <c r="N108" s="61"/>
      <c r="O108" s="61"/>
      <c r="P108" s="70" t="str">
        <f>графік!Q107</f>
        <v/>
      </c>
      <c r="Q108" s="61" t="str">
        <f t="shared" ca="1" si="1"/>
        <v xml:space="preserve"> </v>
      </c>
    </row>
    <row r="109" spans="1:17" hidden="1" x14ac:dyDescent="0.35">
      <c r="A109" s="57" t="str">
        <f>графік!A108</f>
        <v/>
      </c>
      <c r="B109" s="63" t="str">
        <f ca="1">графік!C108</f>
        <v xml:space="preserve"> </v>
      </c>
      <c r="C109" s="59" t="str">
        <f>графік!D108</f>
        <v/>
      </c>
      <c r="D109" s="60" t="str">
        <f>графік!E108</f>
        <v/>
      </c>
      <c r="E109" s="61" t="str">
        <f>графік!H108</f>
        <v/>
      </c>
      <c r="F109" s="60" t="str">
        <f>графік!F108</f>
        <v/>
      </c>
      <c r="G109" s="61" t="str">
        <f>графік!G108</f>
        <v/>
      </c>
      <c r="H109" s="61" t="str">
        <f>графік!M108</f>
        <v/>
      </c>
      <c r="I109" s="61"/>
      <c r="J109" s="61"/>
      <c r="K109" s="61"/>
      <c r="L109" s="61"/>
      <c r="M109" s="61"/>
      <c r="N109" s="61"/>
      <c r="O109" s="61"/>
      <c r="P109" s="70" t="str">
        <f>графік!Q108</f>
        <v/>
      </c>
      <c r="Q109" s="61" t="str">
        <f t="shared" ca="1" si="1"/>
        <v xml:space="preserve"> </v>
      </c>
    </row>
    <row r="110" spans="1:17" hidden="1" x14ac:dyDescent="0.35">
      <c r="A110" s="57" t="str">
        <f>графік!A109</f>
        <v/>
      </c>
      <c r="B110" s="63" t="str">
        <f ca="1">графік!C109</f>
        <v xml:space="preserve"> </v>
      </c>
      <c r="C110" s="59" t="str">
        <f>графік!D109</f>
        <v/>
      </c>
      <c r="D110" s="60" t="str">
        <f>графік!E109</f>
        <v/>
      </c>
      <c r="E110" s="61" t="str">
        <f>графік!H109</f>
        <v/>
      </c>
      <c r="F110" s="60" t="str">
        <f>графік!F109</f>
        <v/>
      </c>
      <c r="G110" s="61" t="str">
        <f>графік!G109</f>
        <v/>
      </c>
      <c r="H110" s="61" t="str">
        <f>графік!M109</f>
        <v/>
      </c>
      <c r="I110" s="61"/>
      <c r="J110" s="61"/>
      <c r="K110" s="61"/>
      <c r="L110" s="61"/>
      <c r="M110" s="61"/>
      <c r="N110" s="61"/>
      <c r="O110" s="61"/>
      <c r="P110" s="70" t="str">
        <f>графік!Q109</f>
        <v/>
      </c>
      <c r="Q110" s="61" t="str">
        <f t="shared" ca="1" si="1"/>
        <v xml:space="preserve"> </v>
      </c>
    </row>
    <row r="111" spans="1:17" hidden="1" x14ac:dyDescent="0.35">
      <c r="A111" s="57" t="str">
        <f>графік!A110</f>
        <v/>
      </c>
      <c r="B111" s="63" t="str">
        <f ca="1">графік!C110</f>
        <v xml:space="preserve"> </v>
      </c>
      <c r="C111" s="59" t="str">
        <f>графік!D110</f>
        <v/>
      </c>
      <c r="D111" s="60" t="str">
        <f>графік!E110</f>
        <v/>
      </c>
      <c r="E111" s="61" t="str">
        <f>графік!H110</f>
        <v/>
      </c>
      <c r="F111" s="60" t="str">
        <f>графік!F110</f>
        <v/>
      </c>
      <c r="G111" s="61" t="str">
        <f>графік!G110</f>
        <v/>
      </c>
      <c r="H111" s="61" t="str">
        <f>графік!M110</f>
        <v/>
      </c>
      <c r="I111" s="61"/>
      <c r="J111" s="61"/>
      <c r="K111" s="61"/>
      <c r="L111" s="61"/>
      <c r="M111" s="61"/>
      <c r="N111" s="61"/>
      <c r="O111" s="61"/>
      <c r="P111" s="70" t="str">
        <f>графік!Q110</f>
        <v/>
      </c>
      <c r="Q111" s="61" t="str">
        <f t="shared" ca="1" si="1"/>
        <v xml:space="preserve"> </v>
      </c>
    </row>
    <row r="112" spans="1:17" hidden="1" x14ac:dyDescent="0.35">
      <c r="A112" s="57" t="str">
        <f>графік!A111</f>
        <v/>
      </c>
      <c r="B112" s="63" t="str">
        <f ca="1">графік!C111</f>
        <v xml:space="preserve"> </v>
      </c>
      <c r="C112" s="59" t="str">
        <f>графік!D111</f>
        <v/>
      </c>
      <c r="D112" s="60" t="str">
        <f>графік!E111</f>
        <v/>
      </c>
      <c r="E112" s="61" t="str">
        <f>графік!H111</f>
        <v/>
      </c>
      <c r="F112" s="60" t="str">
        <f>графік!F111</f>
        <v/>
      </c>
      <c r="G112" s="61" t="str">
        <f>графік!G111</f>
        <v/>
      </c>
      <c r="H112" s="61" t="str">
        <f>графік!M111</f>
        <v/>
      </c>
      <c r="I112" s="61"/>
      <c r="J112" s="61"/>
      <c r="K112" s="61"/>
      <c r="L112" s="61"/>
      <c r="M112" s="61"/>
      <c r="N112" s="61"/>
      <c r="O112" s="61"/>
      <c r="P112" s="70" t="str">
        <f>графік!Q111</f>
        <v/>
      </c>
      <c r="Q112" s="61" t="str">
        <f t="shared" ca="1" si="1"/>
        <v xml:space="preserve"> </v>
      </c>
    </row>
    <row r="113" spans="1:17" hidden="1" x14ac:dyDescent="0.35">
      <c r="A113" s="57" t="str">
        <f>графік!A112</f>
        <v/>
      </c>
      <c r="B113" s="63" t="str">
        <f ca="1">графік!C112</f>
        <v xml:space="preserve"> </v>
      </c>
      <c r="C113" s="59" t="str">
        <f>графік!D112</f>
        <v/>
      </c>
      <c r="D113" s="60" t="str">
        <f>графік!E112</f>
        <v/>
      </c>
      <c r="E113" s="61" t="str">
        <f>графік!H112</f>
        <v/>
      </c>
      <c r="F113" s="60" t="str">
        <f>графік!F112</f>
        <v/>
      </c>
      <c r="G113" s="61" t="str">
        <f>графік!G112</f>
        <v/>
      </c>
      <c r="H113" s="61" t="str">
        <f>графік!M112</f>
        <v/>
      </c>
      <c r="I113" s="61"/>
      <c r="J113" s="61"/>
      <c r="K113" s="61"/>
      <c r="L113" s="61"/>
      <c r="M113" s="61"/>
      <c r="N113" s="61"/>
      <c r="O113" s="61"/>
      <c r="P113" s="70" t="str">
        <f>графік!Q112</f>
        <v/>
      </c>
      <c r="Q113" s="61" t="str">
        <f t="shared" ca="1" si="1"/>
        <v xml:space="preserve"> </v>
      </c>
    </row>
    <row r="114" spans="1:17" hidden="1" x14ac:dyDescent="0.35">
      <c r="A114" s="365" t="s">
        <v>100</v>
      </c>
      <c r="B114" s="365"/>
      <c r="C114" s="365"/>
      <c r="D114" s="365"/>
      <c r="E114" s="61" t="str">
        <f>графік!H113</f>
        <v/>
      </c>
      <c r="F114" s="60" t="str">
        <f>графік!F113</f>
        <v/>
      </c>
      <c r="G114" s="61" t="str">
        <f>графік!G113</f>
        <v/>
      </c>
      <c r="H114" s="61" t="str">
        <f>графік!M113</f>
        <v/>
      </c>
      <c r="I114" s="61"/>
      <c r="J114" s="61"/>
      <c r="K114" s="61"/>
      <c r="L114" s="61"/>
      <c r="M114" s="61"/>
      <c r="N114" s="61"/>
      <c r="O114" s="61"/>
      <c r="P114" s="62" t="str">
        <f>графік!Q113</f>
        <v/>
      </c>
      <c r="Q114" s="61" t="str">
        <f t="shared" ca="1" si="1"/>
        <v xml:space="preserve"> </v>
      </c>
    </row>
    <row r="115" spans="1:17" x14ac:dyDescent="0.3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</row>
    <row r="117" spans="1:17" hidden="1" x14ac:dyDescent="0.35">
      <c r="A117" s="26" t="s">
        <v>78</v>
      </c>
    </row>
    <row r="118" spans="1:17" ht="33.75" customHeight="1" x14ac:dyDescent="0.35">
      <c r="A118" s="350" t="s">
        <v>126</v>
      </c>
      <c r="B118" s="350"/>
      <c r="C118" s="350"/>
      <c r="D118" s="350"/>
      <c r="E118" s="350"/>
      <c r="F118" s="350"/>
      <c r="G118" s="350"/>
      <c r="H118" s="350"/>
      <c r="I118" s="350"/>
      <c r="J118" s="350"/>
      <c r="K118" s="350"/>
      <c r="L118" s="350"/>
      <c r="M118" s="350"/>
      <c r="N118" s="350"/>
      <c r="O118" s="350"/>
      <c r="P118" s="350"/>
      <c r="Q118" s="350"/>
    </row>
    <row r="120" spans="1:17" x14ac:dyDescent="0.35">
      <c r="A120" s="80"/>
      <c r="B120" s="131"/>
      <c r="C120" s="131"/>
      <c r="D120" s="131"/>
      <c r="E120" s="351"/>
      <c r="F120" s="351"/>
      <c r="G120" s="29"/>
      <c r="H120" s="32"/>
      <c r="I120" s="32"/>
      <c r="J120" s="32"/>
      <c r="K120" s="32"/>
      <c r="L120" s="32"/>
      <c r="M120" s="32"/>
      <c r="N120" s="32"/>
      <c r="O120" s="28"/>
      <c r="P120" s="28"/>
      <c r="Q120" s="28"/>
    </row>
    <row r="121" spans="1:17" ht="15" customHeight="1" x14ac:dyDescent="0.35">
      <c r="A121" s="80"/>
      <c r="B121" s="131"/>
      <c r="C121" s="131"/>
      <c r="D121" s="131"/>
      <c r="E121" s="351"/>
      <c r="F121" s="351"/>
      <c r="G121" s="29"/>
      <c r="H121" s="32"/>
      <c r="I121" s="32"/>
      <c r="J121" s="32"/>
      <c r="K121" s="32"/>
      <c r="L121" s="32"/>
      <c r="M121" s="32"/>
      <c r="N121" s="32"/>
      <c r="O121" s="356" t="s">
        <v>81</v>
      </c>
      <c r="P121" s="357"/>
      <c r="Q121" s="352">
        <f>H145</f>
        <v>5000</v>
      </c>
    </row>
    <row r="122" spans="1:17" ht="23.25" customHeight="1" x14ac:dyDescent="0.35">
      <c r="A122" s="27" t="s">
        <v>82</v>
      </c>
      <c r="B122" s="27"/>
      <c r="C122" s="27"/>
      <c r="D122" s="27"/>
      <c r="E122" s="354">
        <f>'графік із підвищеною %'!F7</f>
        <v>500000</v>
      </c>
      <c r="F122" s="355"/>
      <c r="G122" s="35"/>
      <c r="H122" s="36"/>
      <c r="I122" s="36"/>
      <c r="J122" s="36"/>
      <c r="K122" s="36"/>
      <c r="L122" s="36"/>
      <c r="M122" s="36"/>
      <c r="N122" s="36"/>
      <c r="O122" s="358"/>
      <c r="P122" s="359"/>
      <c r="Q122" s="353"/>
    </row>
    <row r="123" spans="1:17" ht="15" hidden="1" customHeight="1" x14ac:dyDescent="0.35">
      <c r="A123" s="27" t="s">
        <v>83</v>
      </c>
      <c r="B123" s="27"/>
      <c r="C123" s="27"/>
      <c r="D123" s="27"/>
      <c r="E123" s="390">
        <f>графік!F133</f>
        <v>0</v>
      </c>
      <c r="F123" s="390"/>
      <c r="G123" s="35"/>
      <c r="H123" s="36"/>
      <c r="I123" s="36"/>
      <c r="J123" s="36"/>
      <c r="K123" s="36"/>
      <c r="L123" s="36"/>
      <c r="M123" s="36"/>
      <c r="N123" s="36"/>
      <c r="O123" s="344" t="s">
        <v>127</v>
      </c>
      <c r="P123" s="345"/>
      <c r="Q123" s="340">
        <f>I145</f>
        <v>0</v>
      </c>
    </row>
    <row r="124" spans="1:17" x14ac:dyDescent="0.35">
      <c r="A124" s="27" t="s">
        <v>84</v>
      </c>
      <c r="B124" s="27"/>
      <c r="C124" s="27"/>
      <c r="D124" s="27"/>
      <c r="E124" s="391">
        <f ca="1">'графік із підвищеною %'!F3</f>
        <v>44228</v>
      </c>
      <c r="F124" s="392"/>
      <c r="G124" s="37"/>
      <c r="H124" s="36"/>
      <c r="I124" s="36"/>
      <c r="J124" s="36"/>
      <c r="K124" s="36"/>
      <c r="L124" s="36"/>
      <c r="M124" s="36"/>
      <c r="N124" s="36"/>
      <c r="O124" s="346"/>
      <c r="P124" s="347"/>
      <c r="Q124" s="341"/>
    </row>
    <row r="125" spans="1:17" x14ac:dyDescent="0.35">
      <c r="A125" s="27" t="s">
        <v>85</v>
      </c>
      <c r="B125" s="27"/>
      <c r="C125" s="27"/>
      <c r="D125" s="27"/>
      <c r="E125" s="391">
        <f ca="1">EDATE(E124,'графік із підвищеною %'!F8)-1</f>
        <v>46053</v>
      </c>
      <c r="F125" s="392"/>
      <c r="G125" s="29"/>
      <c r="H125" s="32"/>
      <c r="I125" s="32"/>
      <c r="J125" s="32"/>
      <c r="K125" s="32"/>
      <c r="L125" s="32"/>
      <c r="M125" s="32"/>
      <c r="N125" s="32"/>
      <c r="O125" s="348" t="s">
        <v>138</v>
      </c>
      <c r="P125" s="349"/>
      <c r="Q125" s="179">
        <f>Q9</f>
        <v>12181</v>
      </c>
    </row>
    <row r="126" spans="1:17" x14ac:dyDescent="0.35">
      <c r="A126" s="27"/>
      <c r="B126" s="27"/>
      <c r="C126" s="27"/>
      <c r="D126" s="27"/>
      <c r="E126" s="33"/>
      <c r="F126" s="34"/>
      <c r="G126" s="35"/>
      <c r="H126" s="36"/>
      <c r="I126" s="36"/>
      <c r="J126" s="36"/>
      <c r="K126" s="36"/>
      <c r="L126" s="36"/>
      <c r="M126" s="36"/>
      <c r="N126" s="36"/>
      <c r="O126" s="336" t="s">
        <v>133</v>
      </c>
      <c r="P126" s="337"/>
      <c r="Q126" s="340">
        <f>L145+M145+N145+O145</f>
        <v>29950</v>
      </c>
    </row>
    <row r="127" spans="1:17" x14ac:dyDescent="0.35">
      <c r="A127" s="27" t="s">
        <v>86</v>
      </c>
      <c r="B127" s="27"/>
      <c r="C127" s="27"/>
      <c r="D127" s="27"/>
      <c r="E127" s="393">
        <f>'графік із підвищеною %'!F8</f>
        <v>60</v>
      </c>
      <c r="F127" s="393"/>
      <c r="G127" s="35"/>
      <c r="H127" s="36"/>
      <c r="I127" s="36"/>
      <c r="J127" s="36"/>
      <c r="K127" s="36"/>
      <c r="L127" s="36"/>
      <c r="M127" s="36"/>
      <c r="N127" s="36"/>
      <c r="O127" s="338"/>
      <c r="P127" s="339"/>
      <c r="Q127" s="341"/>
    </row>
    <row r="128" spans="1:17" x14ac:dyDescent="0.35">
      <c r="A128" s="27"/>
      <c r="B128" s="27"/>
      <c r="C128" s="27"/>
      <c r="D128" s="27"/>
      <c r="E128" s="33"/>
      <c r="F128" s="34"/>
      <c r="G128" s="37"/>
      <c r="H128" s="36"/>
      <c r="I128" s="36"/>
      <c r="J128" s="36"/>
      <c r="K128" s="36"/>
      <c r="L128" s="36"/>
      <c r="M128" s="36"/>
      <c r="N128" s="36"/>
      <c r="O128" s="36"/>
      <c r="P128" s="38"/>
      <c r="Q128" s="39"/>
    </row>
    <row r="129" spans="1:17" x14ac:dyDescent="0.35">
      <c r="A129" s="27" t="s">
        <v>87</v>
      </c>
      <c r="B129" s="27"/>
      <c r="C129" s="27"/>
      <c r="D129" s="27"/>
      <c r="E129" s="383" t="s">
        <v>88</v>
      </c>
      <c r="F129" s="383"/>
      <c r="G129" s="35"/>
      <c r="H129" s="36"/>
      <c r="I129" s="36"/>
      <c r="J129" s="36"/>
      <c r="K129" s="36"/>
      <c r="L129" s="36"/>
      <c r="M129" s="36"/>
      <c r="N129" s="36"/>
      <c r="O129" s="36"/>
      <c r="P129" s="40"/>
      <c r="Q129" s="40"/>
    </row>
    <row r="130" spans="1:17" x14ac:dyDescent="0.35">
      <c r="A130" s="27" t="s">
        <v>89</v>
      </c>
      <c r="B130" s="27"/>
      <c r="C130" s="27"/>
      <c r="D130" s="27"/>
      <c r="E130" s="383" t="s">
        <v>90</v>
      </c>
      <c r="F130" s="383"/>
      <c r="G130" s="35"/>
      <c r="H130" s="30"/>
      <c r="I130" s="30"/>
      <c r="J130" s="30"/>
      <c r="K130" s="30"/>
      <c r="L130" s="30"/>
      <c r="M130" s="30"/>
      <c r="N130" s="30"/>
      <c r="O130" s="30"/>
      <c r="P130" s="31"/>
      <c r="Q130" s="31"/>
    </row>
    <row r="131" spans="1:17" hidden="1" x14ac:dyDescent="0.35">
      <c r="A131" s="384" t="s">
        <v>91</v>
      </c>
      <c r="B131" s="384"/>
      <c r="C131" s="384"/>
      <c r="D131" s="384"/>
      <c r="E131" s="384"/>
      <c r="F131" s="384"/>
      <c r="G131" s="41"/>
      <c r="H131" s="30"/>
      <c r="I131" s="30"/>
      <c r="J131" s="30"/>
      <c r="K131" s="30"/>
      <c r="L131" s="30"/>
      <c r="M131" s="30"/>
      <c r="N131" s="30"/>
      <c r="O131" s="30"/>
      <c r="P131" s="31"/>
      <c r="Q131" s="31"/>
    </row>
    <row r="132" spans="1:17" hidden="1" x14ac:dyDescent="0.35">
      <c r="A132" s="385" t="s">
        <v>92</v>
      </c>
      <c r="B132" s="386"/>
      <c r="C132" s="42"/>
      <c r="D132" s="42"/>
      <c r="E132" s="42" t="s">
        <v>93</v>
      </c>
      <c r="F132" s="43" t="s">
        <v>94</v>
      </c>
      <c r="G132" s="43" t="s">
        <v>95</v>
      </c>
      <c r="H132" s="44"/>
      <c r="I132" s="44"/>
      <c r="J132" s="44"/>
      <c r="K132" s="44"/>
      <c r="L132" s="44"/>
      <c r="M132" s="44"/>
      <c r="N132" s="44"/>
      <c r="O132" s="44"/>
      <c r="P132" s="31"/>
      <c r="Q132" s="31"/>
    </row>
    <row r="133" spans="1:17" hidden="1" x14ac:dyDescent="0.35">
      <c r="A133" s="387" t="str">
        <f xml:space="preserve"> IF(E127&gt;60,'графік із підвищеною %'!D20," ")</f>
        <v xml:space="preserve"> </v>
      </c>
      <c r="B133" s="386"/>
      <c r="C133" s="42"/>
      <c r="D133" s="42"/>
      <c r="E133" s="124" t="str">
        <f>IF(E127&gt;60,'графік із підвищеною %'!F24," ")</f>
        <v xml:space="preserve"> </v>
      </c>
      <c r="F133" s="125" t="str">
        <f>IF(E127&gt;60,'графік із підвищеною %'!F22," ")</f>
        <v xml:space="preserve"> </v>
      </c>
      <c r="G133" s="125" t="str">
        <f>IF(E127&gt;60,'графік із підвищеною %'!F21," ")</f>
        <v xml:space="preserve"> </v>
      </c>
      <c r="H133" s="44"/>
      <c r="I133" s="44"/>
      <c r="J133" s="44"/>
      <c r="K133" s="44"/>
      <c r="L133" s="44"/>
      <c r="M133" s="44"/>
      <c r="N133" s="44"/>
      <c r="O133" s="44"/>
      <c r="P133" s="46"/>
      <c r="Q133" s="46"/>
    </row>
    <row r="134" spans="1:17" hidden="1" x14ac:dyDescent="0.35">
      <c r="A134" s="47" t="s">
        <v>101</v>
      </c>
      <c r="B134" s="45"/>
      <c r="C134" s="45"/>
      <c r="D134" s="45"/>
      <c r="E134" s="45"/>
      <c r="F134" s="45"/>
      <c r="G134" s="45"/>
      <c r="H134" s="48"/>
      <c r="I134" s="48"/>
      <c r="J134" s="48"/>
      <c r="K134" s="48"/>
      <c r="L134" s="48"/>
      <c r="M134" s="48"/>
      <c r="N134" s="48"/>
      <c r="O134" s="48"/>
      <c r="P134" s="45"/>
      <c r="Q134" s="45"/>
    </row>
    <row r="135" spans="1:17" hidden="1" x14ac:dyDescent="0.35">
      <c r="A135" s="49"/>
      <c r="B135" s="49"/>
      <c r="C135" s="49"/>
      <c r="D135" s="49"/>
      <c r="E135" s="49"/>
      <c r="F135" s="49"/>
      <c r="G135" s="45"/>
      <c r="H135" s="50"/>
      <c r="I135" s="50"/>
      <c r="J135" s="50"/>
      <c r="K135" s="50"/>
      <c r="L135" s="50"/>
      <c r="M135" s="50"/>
      <c r="N135" s="50"/>
      <c r="O135" s="50"/>
      <c r="P135" s="51"/>
      <c r="Q135" s="51"/>
    </row>
    <row r="136" spans="1:17" x14ac:dyDescent="0.35">
      <c r="A136" s="52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4"/>
      <c r="Q136" s="54"/>
    </row>
    <row r="137" spans="1:17" ht="24" customHeight="1" x14ac:dyDescent="0.35">
      <c r="A137" s="388" t="s">
        <v>62</v>
      </c>
      <c r="B137" s="342" t="s">
        <v>63</v>
      </c>
      <c r="C137" s="363" t="s">
        <v>64</v>
      </c>
      <c r="D137" s="363" t="s">
        <v>65</v>
      </c>
      <c r="E137" s="389" t="s">
        <v>96</v>
      </c>
      <c r="F137" s="369" t="s">
        <v>97</v>
      </c>
      <c r="G137" s="370"/>
      <c r="H137" s="370"/>
      <c r="I137" s="370"/>
      <c r="J137" s="370"/>
      <c r="K137" s="371"/>
      <c r="L137" s="372" t="s">
        <v>148</v>
      </c>
      <c r="M137" s="373"/>
      <c r="N137" s="176"/>
      <c r="O137" s="177"/>
      <c r="P137" s="342" t="s">
        <v>66</v>
      </c>
      <c r="Q137" s="360" t="s">
        <v>98</v>
      </c>
    </row>
    <row r="138" spans="1:17" ht="48" customHeight="1" x14ac:dyDescent="0.35">
      <c r="A138" s="388"/>
      <c r="B138" s="342"/>
      <c r="C138" s="363"/>
      <c r="D138" s="363"/>
      <c r="E138" s="389"/>
      <c r="F138" s="362" t="s">
        <v>67</v>
      </c>
      <c r="G138" s="364" t="s">
        <v>68</v>
      </c>
      <c r="H138" s="364" t="s">
        <v>99</v>
      </c>
      <c r="I138" s="361" t="s">
        <v>139</v>
      </c>
      <c r="J138" s="380" t="s">
        <v>138</v>
      </c>
      <c r="K138" s="366" t="s">
        <v>123</v>
      </c>
      <c r="L138" s="374" t="s">
        <v>134</v>
      </c>
      <c r="M138" s="361" t="s">
        <v>135</v>
      </c>
      <c r="N138" s="378" t="s">
        <v>136</v>
      </c>
      <c r="O138" s="361" t="s">
        <v>137</v>
      </c>
      <c r="P138" s="343"/>
      <c r="Q138" s="360"/>
    </row>
    <row r="139" spans="1:17" x14ac:dyDescent="0.35">
      <c r="A139" s="388"/>
      <c r="B139" s="342"/>
      <c r="C139" s="363"/>
      <c r="D139" s="363"/>
      <c r="E139" s="389"/>
      <c r="F139" s="363"/>
      <c r="G139" s="342"/>
      <c r="H139" s="342"/>
      <c r="I139" s="376"/>
      <c r="J139" s="381"/>
      <c r="K139" s="367"/>
      <c r="L139" s="342"/>
      <c r="M139" s="376"/>
      <c r="N139" s="343"/>
      <c r="O139" s="376"/>
      <c r="P139" s="343"/>
      <c r="Q139" s="360"/>
    </row>
    <row r="140" spans="1:17" x14ac:dyDescent="0.35">
      <c r="A140" s="388"/>
      <c r="B140" s="342"/>
      <c r="C140" s="363"/>
      <c r="D140" s="363"/>
      <c r="E140" s="389"/>
      <c r="F140" s="363"/>
      <c r="G140" s="342"/>
      <c r="H140" s="342"/>
      <c r="I140" s="376"/>
      <c r="J140" s="381"/>
      <c r="K140" s="367"/>
      <c r="L140" s="342"/>
      <c r="M140" s="376"/>
      <c r="N140" s="343"/>
      <c r="O140" s="376"/>
      <c r="P140" s="343"/>
      <c r="Q140" s="360"/>
    </row>
    <row r="141" spans="1:17" x14ac:dyDescent="0.35">
      <c r="A141" s="388"/>
      <c r="B141" s="342"/>
      <c r="C141" s="363"/>
      <c r="D141" s="363"/>
      <c r="E141" s="389"/>
      <c r="F141" s="363"/>
      <c r="G141" s="342"/>
      <c r="H141" s="342"/>
      <c r="I141" s="376"/>
      <c r="J141" s="381"/>
      <c r="K141" s="367"/>
      <c r="L141" s="342"/>
      <c r="M141" s="376"/>
      <c r="N141" s="343"/>
      <c r="O141" s="376"/>
      <c r="P141" s="343"/>
      <c r="Q141" s="360"/>
    </row>
    <row r="142" spans="1:17" x14ac:dyDescent="0.35">
      <c r="A142" s="388"/>
      <c r="B142" s="342"/>
      <c r="C142" s="363"/>
      <c r="D142" s="363"/>
      <c r="E142" s="389"/>
      <c r="F142" s="363"/>
      <c r="G142" s="342"/>
      <c r="H142" s="342"/>
      <c r="I142" s="376"/>
      <c r="J142" s="381"/>
      <c r="K142" s="367"/>
      <c r="L142" s="342"/>
      <c r="M142" s="376"/>
      <c r="N142" s="343"/>
      <c r="O142" s="376"/>
      <c r="P142" s="343"/>
      <c r="Q142" s="360"/>
    </row>
    <row r="143" spans="1:17" x14ac:dyDescent="0.35">
      <c r="A143" s="388"/>
      <c r="B143" s="342"/>
      <c r="C143" s="363"/>
      <c r="D143" s="363"/>
      <c r="E143" s="389"/>
      <c r="F143" s="363"/>
      <c r="G143" s="342"/>
      <c r="H143" s="342"/>
      <c r="I143" s="376"/>
      <c r="J143" s="381"/>
      <c r="K143" s="367"/>
      <c r="L143" s="342"/>
      <c r="M143" s="376"/>
      <c r="N143" s="343"/>
      <c r="O143" s="376"/>
      <c r="P143" s="343"/>
      <c r="Q143" s="360"/>
    </row>
    <row r="144" spans="1:17" x14ac:dyDescent="0.35">
      <c r="A144" s="388"/>
      <c r="B144" s="342"/>
      <c r="C144" s="363"/>
      <c r="D144" s="363"/>
      <c r="E144" s="389"/>
      <c r="F144" s="363"/>
      <c r="G144" s="342"/>
      <c r="H144" s="126"/>
      <c r="I144" s="377"/>
      <c r="J144" s="382"/>
      <c r="K144" s="368"/>
      <c r="L144" s="375"/>
      <c r="M144" s="377"/>
      <c r="N144" s="379"/>
      <c r="O144" s="377"/>
      <c r="P144" s="343"/>
      <c r="Q144" s="361"/>
    </row>
    <row r="145" spans="1:17" x14ac:dyDescent="0.35">
      <c r="A145" s="57"/>
      <c r="B145" s="58">
        <f ca="1">'графік із підвищеною %'!C28</f>
        <v>44228</v>
      </c>
      <c r="C145" s="59"/>
      <c r="D145" s="60">
        <f>'графік із підвищеною %'!E28</f>
        <v>500000</v>
      </c>
      <c r="E145" s="61"/>
      <c r="F145" s="60"/>
      <c r="G145" s="61"/>
      <c r="H145" s="61">
        <f>'графік із підвищеною %'!M28</f>
        <v>5000</v>
      </c>
      <c r="I145" s="61">
        <f>'графік із підвищеною %'!N28</f>
        <v>0</v>
      </c>
      <c r="J145" s="61">
        <f>'графік із підвищеною %'!O28</f>
        <v>2181</v>
      </c>
      <c r="K145" s="130">
        <f>'графік із підвищеною %'!P9</f>
        <v>0</v>
      </c>
      <c r="L145" s="130">
        <f>'графік із підвищеною %'!I28</f>
        <v>0</v>
      </c>
      <c r="M145" s="130">
        <f>'графік із підвищеною %'!J28</f>
        <v>0</v>
      </c>
      <c r="N145" s="130">
        <f>'графік із підвищеною %'!K28</f>
        <v>29950</v>
      </c>
      <c r="O145" s="130">
        <f>'графік із підвищеною %'!L28</f>
        <v>0</v>
      </c>
      <c r="P145" s="132">
        <f>'графік із підвищеною %'!Q28</f>
        <v>0</v>
      </c>
      <c r="Q145" s="127">
        <f>'графік із підвищеною %'!R28</f>
        <v>0</v>
      </c>
    </row>
    <row r="146" spans="1:17" x14ac:dyDescent="0.35">
      <c r="A146" s="57">
        <f>'графік із підвищеною %'!A29</f>
        <v>1</v>
      </c>
      <c r="B146" s="58">
        <f ca="1">'графік із підвищеною %'!C29</f>
        <v>44256</v>
      </c>
      <c r="C146" s="59">
        <f ca="1">'графік із підвищеною %'!D29</f>
        <v>28</v>
      </c>
      <c r="D146" s="60">
        <f>'графік із підвищеною %'!E29</f>
        <v>491666.66666666669</v>
      </c>
      <c r="E146" s="61">
        <f ca="1">'графік із підвищеною %'!H29</f>
        <v>8333.3333333333339</v>
      </c>
      <c r="F146" s="60">
        <f>'графік із підвищеною %'!F29</f>
        <v>8333.3333333333339</v>
      </c>
      <c r="G146" s="61">
        <f ca="1">'графік із підвищеною %'!G29</f>
        <v>0</v>
      </c>
      <c r="H146" s="64">
        <f>'графік із підвищеною %'!M29</f>
        <v>0</v>
      </c>
      <c r="I146" s="64">
        <f>'графік із підвищеною %'!N29</f>
        <v>0</v>
      </c>
      <c r="J146" s="64">
        <f>'графік із підвищеною %'!O29</f>
        <v>0</v>
      </c>
      <c r="K146" s="64"/>
      <c r="L146" s="180">
        <f>'графік із підвищеною %'!I29</f>
        <v>0</v>
      </c>
      <c r="M146" s="180">
        <f>'графік із підвищеною %'!J29</f>
        <v>0</v>
      </c>
      <c r="N146" s="180">
        <f>'графік із підвищеною %'!K29</f>
        <v>0</v>
      </c>
      <c r="O146" s="180">
        <f>'графік із підвищеною %'!L29</f>
        <v>0</v>
      </c>
      <c r="P146" s="132" t="str">
        <f>'графік із підвищеною %'!Q29</f>
        <v/>
      </c>
      <c r="Q146" s="61" t="str">
        <f t="shared" ref="Q146:Q205" ca="1" si="2">IF(B145=$E$125,E146+$H$145+$K$145+$I$145+$Q$125+$L$145+$M$145+$N$145+$O$145," ")</f>
        <v xml:space="preserve"> </v>
      </c>
    </row>
    <row r="147" spans="1:17" x14ac:dyDescent="0.35">
      <c r="A147" s="57">
        <f>'графік із підвищеною %'!A30</f>
        <v>2</v>
      </c>
      <c r="B147" s="58">
        <f ca="1">'графік із підвищеною %'!C30</f>
        <v>44287</v>
      </c>
      <c r="C147" s="59">
        <f ca="1">'графік із підвищеною %'!D30</f>
        <v>31</v>
      </c>
      <c r="D147" s="60">
        <f>'графік із підвищеною %'!E30</f>
        <v>483333.33666666667</v>
      </c>
      <c r="E147" s="61">
        <f ca="1">'графік із підвищеною %'!H30</f>
        <v>8333.33</v>
      </c>
      <c r="F147" s="60">
        <f>'графік із підвищеною %'!F30</f>
        <v>8333.33</v>
      </c>
      <c r="G147" s="61">
        <f ca="1">'графік із підвищеною %'!G30</f>
        <v>0</v>
      </c>
      <c r="H147" s="64">
        <f>'графік із підвищеною %'!M30</f>
        <v>0</v>
      </c>
      <c r="I147" s="64">
        <f>'графік із підвищеною %'!N30</f>
        <v>0</v>
      </c>
      <c r="J147" s="64">
        <f>'графік із підвищеною %'!O30</f>
        <v>0</v>
      </c>
      <c r="K147" s="64"/>
      <c r="L147" s="180">
        <f>'графік із підвищеною %'!I30</f>
        <v>0</v>
      </c>
      <c r="M147" s="180">
        <f>'графік із підвищеною %'!J30</f>
        <v>0</v>
      </c>
      <c r="N147" s="180">
        <f>'графік із підвищеною %'!K30</f>
        <v>0</v>
      </c>
      <c r="O147" s="180">
        <f>'графік із підвищеною %'!L30</f>
        <v>0</v>
      </c>
      <c r="P147" s="132" t="str">
        <f>'графік із підвищеною %'!Q30</f>
        <v/>
      </c>
      <c r="Q147" s="61" t="str">
        <f t="shared" ca="1" si="2"/>
        <v xml:space="preserve"> </v>
      </c>
    </row>
    <row r="148" spans="1:17" x14ac:dyDescent="0.35">
      <c r="A148" s="57">
        <f>'графік із підвищеною %'!A31</f>
        <v>3</v>
      </c>
      <c r="B148" s="58">
        <f ca="1">'графік із підвищеною %'!C31</f>
        <v>44317</v>
      </c>
      <c r="C148" s="59">
        <f ca="1">'графік із підвищеною %'!D31</f>
        <v>30</v>
      </c>
      <c r="D148" s="60">
        <f>'графік із підвищеною %'!E31</f>
        <v>475000.00666666665</v>
      </c>
      <c r="E148" s="61">
        <f ca="1">'графік із підвищеною %'!H31</f>
        <v>8333.33</v>
      </c>
      <c r="F148" s="60">
        <f>'графік із підвищеною %'!F31</f>
        <v>8333.33</v>
      </c>
      <c r="G148" s="61">
        <f ca="1">'графік із підвищеною %'!G31</f>
        <v>0</v>
      </c>
      <c r="H148" s="64">
        <f>'графік із підвищеною %'!M31</f>
        <v>0</v>
      </c>
      <c r="I148" s="64">
        <f>'графік із підвищеною %'!N31</f>
        <v>0</v>
      </c>
      <c r="J148" s="64">
        <f>'графік із підвищеною %'!O31</f>
        <v>0</v>
      </c>
      <c r="K148" s="64"/>
      <c r="L148" s="180">
        <f>'графік із підвищеною %'!I31</f>
        <v>0</v>
      </c>
      <c r="M148" s="180">
        <f>'графік із підвищеною %'!J31</f>
        <v>0</v>
      </c>
      <c r="N148" s="180">
        <f>'графік із підвищеною %'!K31</f>
        <v>0</v>
      </c>
      <c r="O148" s="180">
        <f>'графік із підвищеною %'!L31</f>
        <v>0</v>
      </c>
      <c r="P148" s="132" t="str">
        <f>'графік із підвищеною %'!Q31</f>
        <v/>
      </c>
      <c r="Q148" s="61" t="str">
        <f t="shared" ca="1" si="2"/>
        <v xml:space="preserve"> </v>
      </c>
    </row>
    <row r="149" spans="1:17" x14ac:dyDescent="0.35">
      <c r="A149" s="57">
        <f>'графік із підвищеною %'!A32</f>
        <v>4</v>
      </c>
      <c r="B149" s="58">
        <f ca="1">'графік із підвищеною %'!C32</f>
        <v>44348</v>
      </c>
      <c r="C149" s="59">
        <f ca="1">'графік із підвищеною %'!D32</f>
        <v>31</v>
      </c>
      <c r="D149" s="60">
        <f>'графік із підвищеною %'!E32</f>
        <v>466666.67666666664</v>
      </c>
      <c r="E149" s="61">
        <f ca="1">'графік із підвищеною %'!H32</f>
        <v>20432.04</v>
      </c>
      <c r="F149" s="60">
        <f>'графік із підвищеною %'!F32</f>
        <v>8333.33</v>
      </c>
      <c r="G149" s="61">
        <f ca="1">'графік із підвищеною %'!G32</f>
        <v>12098.71</v>
      </c>
      <c r="H149" s="64" t="str">
        <f>'графік із підвищеною %'!M32</f>
        <v/>
      </c>
      <c r="I149" s="64" t="str">
        <f>'графік із підвищеною %'!N32</f>
        <v/>
      </c>
      <c r="J149" s="64" t="str">
        <f>'графік із підвищеною %'!O32</f>
        <v/>
      </c>
      <c r="K149" s="64"/>
      <c r="L149" s="130" t="str">
        <f>'графік із підвищеною %'!I32</f>
        <v/>
      </c>
      <c r="M149" s="130" t="str">
        <f>'графік із підвищеною %'!J32</f>
        <v/>
      </c>
      <c r="N149" s="130" t="str">
        <f>'графік із підвищеною %'!K32</f>
        <v/>
      </c>
      <c r="O149" s="130" t="str">
        <f>'графік із підвищеною %'!L32</f>
        <v/>
      </c>
      <c r="P149" s="132" t="str">
        <f>'графік із підвищеною %'!Q32</f>
        <v/>
      </c>
      <c r="Q149" s="61" t="str">
        <f t="shared" ca="1" si="2"/>
        <v xml:space="preserve"> </v>
      </c>
    </row>
    <row r="150" spans="1:17" x14ac:dyDescent="0.35">
      <c r="A150" s="57">
        <f>'графік із підвищеною %'!A33</f>
        <v>5</v>
      </c>
      <c r="B150" s="58">
        <f ca="1">'графік із підвищеною %'!C33</f>
        <v>44378</v>
      </c>
      <c r="C150" s="59">
        <f ca="1">'графік із підвищеною %'!D33</f>
        <v>30</v>
      </c>
      <c r="D150" s="60">
        <f>'графік із підвищеною %'!E33</f>
        <v>458333.34666666662</v>
      </c>
      <c r="E150" s="61">
        <f ca="1">'графік із підвищеною %'!H33</f>
        <v>19836.34</v>
      </c>
      <c r="F150" s="60">
        <f>'графік із підвищеною %'!F33</f>
        <v>8333.33</v>
      </c>
      <c r="G150" s="61">
        <f ca="1">'графік із підвищеною %'!G33</f>
        <v>11503.01</v>
      </c>
      <c r="H150" s="64" t="str">
        <f>'графік із підвищеною %'!M33</f>
        <v/>
      </c>
      <c r="I150" s="64" t="str">
        <f>'графік із підвищеною %'!N33</f>
        <v/>
      </c>
      <c r="J150" s="64" t="str">
        <f>'графік із підвищеною %'!O33</f>
        <v/>
      </c>
      <c r="K150" s="64"/>
      <c r="L150" s="130" t="str">
        <f>'графік із підвищеною %'!I33</f>
        <v/>
      </c>
      <c r="M150" s="130" t="str">
        <f>'графік із підвищеною %'!J33</f>
        <v/>
      </c>
      <c r="N150" s="130" t="str">
        <f>'графік із підвищеною %'!K33</f>
        <v/>
      </c>
      <c r="O150" s="130" t="str">
        <f>'графік із підвищеною %'!L33</f>
        <v/>
      </c>
      <c r="P150" s="132" t="str">
        <f>'графік із підвищеною %'!Q33</f>
        <v/>
      </c>
      <c r="Q150" s="61" t="str">
        <f t="shared" ca="1" si="2"/>
        <v xml:space="preserve"> </v>
      </c>
    </row>
    <row r="151" spans="1:17" x14ac:dyDescent="0.35">
      <c r="A151" s="57">
        <f>'графік із підвищеною %'!A34</f>
        <v>6</v>
      </c>
      <c r="B151" s="58">
        <f ca="1">'графік із підвищеною %'!C34</f>
        <v>44409</v>
      </c>
      <c r="C151" s="59">
        <f ca="1">'графік із підвищеною %'!D34</f>
        <v>31</v>
      </c>
      <c r="D151" s="60">
        <f>'графік із підвищеною %'!E34</f>
        <v>450000.0166666666</v>
      </c>
      <c r="E151" s="61">
        <f ca="1">'графік із підвищеною %'!H34</f>
        <v>20007.52</v>
      </c>
      <c r="F151" s="60">
        <f>'графік із підвищеною %'!F34</f>
        <v>8333.33</v>
      </c>
      <c r="G151" s="61">
        <f ca="1">'графік із підвищеною %'!G34</f>
        <v>11674.19</v>
      </c>
      <c r="H151" s="64" t="str">
        <f>'графік із підвищеною %'!M34</f>
        <v/>
      </c>
      <c r="I151" s="64" t="str">
        <f>'графік із підвищеною %'!N34</f>
        <v/>
      </c>
      <c r="J151" s="64" t="str">
        <f>'графік із підвищеною %'!O34</f>
        <v/>
      </c>
      <c r="K151" s="64"/>
      <c r="L151" s="130" t="str">
        <f>'графік із підвищеною %'!I34</f>
        <v/>
      </c>
      <c r="M151" s="130" t="str">
        <f>'графік із підвищеною %'!J34</f>
        <v/>
      </c>
      <c r="N151" s="130" t="str">
        <f>'графік із підвищеною %'!K34</f>
        <v/>
      </c>
      <c r="O151" s="130" t="str">
        <f>'графік із підвищеною %'!L34</f>
        <v/>
      </c>
      <c r="P151" s="132" t="str">
        <f>'графік із підвищеною %'!Q34</f>
        <v/>
      </c>
      <c r="Q151" s="61" t="str">
        <f t="shared" ca="1" si="2"/>
        <v xml:space="preserve"> </v>
      </c>
    </row>
    <row r="152" spans="1:17" x14ac:dyDescent="0.35">
      <c r="A152" s="57">
        <f>'графік із підвищеною %'!A35</f>
        <v>7</v>
      </c>
      <c r="B152" s="58">
        <f ca="1">'графік із підвищеною %'!C35</f>
        <v>44440</v>
      </c>
      <c r="C152" s="59">
        <f ca="1">'графік із підвищеною %'!D35</f>
        <v>31</v>
      </c>
      <c r="D152" s="60">
        <f>'графік із підвищеною %'!E35</f>
        <v>441666.68666666659</v>
      </c>
      <c r="E152" s="61">
        <f ca="1">'графік із підвищеною %'!H35</f>
        <v>19795.260000000002</v>
      </c>
      <c r="F152" s="60">
        <f>'графік із підвищеною %'!F35</f>
        <v>8333.33</v>
      </c>
      <c r="G152" s="61">
        <f ca="1">'графік із підвищеною %'!G35</f>
        <v>11461.93</v>
      </c>
      <c r="H152" s="64">
        <f>'графік із підвищеною %'!M35</f>
        <v>0</v>
      </c>
      <c r="I152" s="64" t="str">
        <f>'графік із підвищеною %'!N35</f>
        <v/>
      </c>
      <c r="J152" s="64" t="str">
        <f>'графік із підвищеною %'!O35</f>
        <v/>
      </c>
      <c r="K152" s="64"/>
      <c r="L152" s="130" t="str">
        <f>'графік із підвищеною %'!I35</f>
        <v/>
      </c>
      <c r="M152" s="130" t="str">
        <f>'графік із підвищеною %'!J35</f>
        <v/>
      </c>
      <c r="N152" s="130" t="str">
        <f>'графік із підвищеною %'!K35</f>
        <v/>
      </c>
      <c r="O152" s="130" t="str">
        <f>'графік із підвищеною %'!L35</f>
        <v/>
      </c>
      <c r="P152" s="132" t="str">
        <f>'графік із підвищеною %'!Q35</f>
        <v/>
      </c>
      <c r="Q152" s="61" t="str">
        <f t="shared" ca="1" si="2"/>
        <v xml:space="preserve"> </v>
      </c>
    </row>
    <row r="153" spans="1:17" x14ac:dyDescent="0.35">
      <c r="A153" s="57">
        <f>'графік із підвищеною %'!A36</f>
        <v>8</v>
      </c>
      <c r="B153" s="58">
        <f ca="1">'графік із підвищеною %'!C36</f>
        <v>44470</v>
      </c>
      <c r="C153" s="59">
        <f ca="1">'графік із підвищеною %'!D36</f>
        <v>30</v>
      </c>
      <c r="D153" s="60">
        <f>'графік із підвищеною %'!E36</f>
        <v>433333.35666666657</v>
      </c>
      <c r="E153" s="61">
        <f ca="1">'графік із підвищеною %'!H36</f>
        <v>19220.11</v>
      </c>
      <c r="F153" s="60">
        <f>'графік із підвищеною %'!F36</f>
        <v>8333.33</v>
      </c>
      <c r="G153" s="61">
        <f ca="1">'графік із підвищеною %'!G36</f>
        <v>10886.78</v>
      </c>
      <c r="H153" s="61" t="str">
        <f>'графік із підвищеною %'!M36</f>
        <v/>
      </c>
      <c r="I153" s="61" t="str">
        <f>'графік із підвищеною %'!N36</f>
        <v/>
      </c>
      <c r="J153" s="61" t="str">
        <f>'графік із підвищеною %'!O36</f>
        <v/>
      </c>
      <c r="K153" s="64"/>
      <c r="L153" s="130" t="str">
        <f>'графік із підвищеною %'!I36</f>
        <v/>
      </c>
      <c r="M153" s="130" t="str">
        <f>'графік із підвищеною %'!J36</f>
        <v/>
      </c>
      <c r="N153" s="130" t="str">
        <f>'графік із підвищеною %'!K36</f>
        <v/>
      </c>
      <c r="O153" s="130" t="str">
        <f>'графік із підвищеною %'!L36</f>
        <v/>
      </c>
      <c r="P153" s="132" t="str">
        <f>'графік із підвищеною %'!Q36</f>
        <v/>
      </c>
      <c r="Q153" s="61" t="str">
        <f t="shared" ca="1" si="2"/>
        <v xml:space="preserve"> </v>
      </c>
    </row>
    <row r="154" spans="1:17" x14ac:dyDescent="0.35">
      <c r="A154" s="57">
        <f>'графік із підвищеною %'!A37</f>
        <v>9</v>
      </c>
      <c r="B154" s="58">
        <f ca="1">'графік із підвищеною %'!C37</f>
        <v>44501</v>
      </c>
      <c r="C154" s="59">
        <f ca="1">'графік із підвищеною %'!D37</f>
        <v>31</v>
      </c>
      <c r="D154" s="60">
        <f>'графік із підвищеною %'!E37</f>
        <v>425000.02666666656</v>
      </c>
      <c r="E154" s="61">
        <f ca="1">'графік із підвищеною %'!H37</f>
        <v>19370.75</v>
      </c>
      <c r="F154" s="60">
        <f>'графік із підвищеною %'!F37</f>
        <v>8333.33</v>
      </c>
      <c r="G154" s="61">
        <f ca="1">'графік із підвищеною %'!G37</f>
        <v>11037.42</v>
      </c>
      <c r="H154" s="61" t="str">
        <f>'графік із підвищеною %'!M37</f>
        <v/>
      </c>
      <c r="I154" s="61" t="str">
        <f>'графік із підвищеною %'!N37</f>
        <v/>
      </c>
      <c r="J154" s="61" t="str">
        <f>'графік із підвищеною %'!O37</f>
        <v/>
      </c>
      <c r="K154" s="64"/>
      <c r="L154" s="130" t="str">
        <f>'графік із підвищеною %'!I37</f>
        <v/>
      </c>
      <c r="M154" s="130" t="str">
        <f>'графік із підвищеною %'!J37</f>
        <v/>
      </c>
      <c r="N154" s="130" t="str">
        <f>'графік із підвищеною %'!K37</f>
        <v/>
      </c>
      <c r="O154" s="130" t="str">
        <f>'графік із підвищеною %'!L37</f>
        <v/>
      </c>
      <c r="P154" s="132" t="str">
        <f>'графік із підвищеною %'!Q37</f>
        <v/>
      </c>
      <c r="Q154" s="61" t="str">
        <f t="shared" ca="1" si="2"/>
        <v xml:space="preserve"> </v>
      </c>
    </row>
    <row r="155" spans="1:17" x14ac:dyDescent="0.35">
      <c r="A155" s="57">
        <f>'графік із підвищеною %'!A38</f>
        <v>10</v>
      </c>
      <c r="B155" s="58">
        <f ca="1">'графік із підвищеною %'!C38</f>
        <v>44531</v>
      </c>
      <c r="C155" s="59">
        <f ca="1">'графік із підвищеною %'!D38</f>
        <v>30</v>
      </c>
      <c r="D155" s="60">
        <f>'графік із підвищеною %'!E38</f>
        <v>416666.69666666654</v>
      </c>
      <c r="E155" s="61">
        <f ca="1">'графік із підвищеною %'!H38</f>
        <v>18809.29</v>
      </c>
      <c r="F155" s="60">
        <f>'графік із підвищеною %'!F38</f>
        <v>8333.33</v>
      </c>
      <c r="G155" s="61">
        <f ca="1">'графік із підвищеною %'!G38</f>
        <v>10475.959999999999</v>
      </c>
      <c r="H155" s="61" t="str">
        <f>'графік із підвищеною %'!M38</f>
        <v/>
      </c>
      <c r="I155" s="61" t="str">
        <f>'графік із підвищеною %'!N38</f>
        <v/>
      </c>
      <c r="J155" s="61" t="str">
        <f>'графік із підвищеною %'!O38</f>
        <v/>
      </c>
      <c r="K155" s="64"/>
      <c r="L155" s="130" t="str">
        <f>'графік із підвищеною %'!I38</f>
        <v/>
      </c>
      <c r="M155" s="130" t="str">
        <f>'графік із підвищеною %'!J38</f>
        <v/>
      </c>
      <c r="N155" s="130" t="str">
        <f>'графік із підвищеною %'!K38</f>
        <v/>
      </c>
      <c r="O155" s="130" t="str">
        <f>'графік із підвищеною %'!L38</f>
        <v/>
      </c>
      <c r="P155" s="132" t="str">
        <f>'графік із підвищеною %'!Q38</f>
        <v/>
      </c>
      <c r="Q155" s="61" t="str">
        <f t="shared" ca="1" si="2"/>
        <v xml:space="preserve"> </v>
      </c>
    </row>
    <row r="156" spans="1:17" x14ac:dyDescent="0.35">
      <c r="A156" s="57">
        <f>'графік із підвищеною %'!A39</f>
        <v>11</v>
      </c>
      <c r="B156" s="58">
        <f ca="1">'графік із підвищеною %'!C39</f>
        <v>44562</v>
      </c>
      <c r="C156" s="59">
        <f ca="1">'графік із підвищеною %'!D39</f>
        <v>31</v>
      </c>
      <c r="D156" s="60">
        <f>'графік із підвищеною %'!E39</f>
        <v>408333.36666666652</v>
      </c>
      <c r="E156" s="61">
        <f ca="1">'графік із підвищеною %'!H39</f>
        <v>18946.23</v>
      </c>
      <c r="F156" s="60">
        <f>'графік із підвищеною %'!F39</f>
        <v>8333.33</v>
      </c>
      <c r="G156" s="61">
        <f ca="1">'графік із підвищеною %'!G39</f>
        <v>10612.9</v>
      </c>
      <c r="H156" s="61" t="str">
        <f>'графік із підвищеною %'!M39</f>
        <v/>
      </c>
      <c r="I156" s="61" t="str">
        <f>'графік із підвищеною %'!N39</f>
        <v/>
      </c>
      <c r="J156" s="61" t="str">
        <f>'графік із підвищеною %'!O39</f>
        <v/>
      </c>
      <c r="K156" s="64"/>
      <c r="L156" s="130" t="str">
        <f>'графік із підвищеною %'!I39</f>
        <v/>
      </c>
      <c r="M156" s="130" t="str">
        <f>'графік із підвищеною %'!J39</f>
        <v/>
      </c>
      <c r="N156" s="130" t="str">
        <f>'графік із підвищеною %'!K39</f>
        <v/>
      </c>
      <c r="O156" s="130" t="str">
        <f>'графік із підвищеною %'!L39</f>
        <v/>
      </c>
      <c r="P156" s="132" t="str">
        <f>'графік із підвищеною %'!Q39</f>
        <v/>
      </c>
      <c r="Q156" s="61" t="str">
        <f t="shared" ca="1" si="2"/>
        <v xml:space="preserve"> </v>
      </c>
    </row>
    <row r="157" spans="1:17" x14ac:dyDescent="0.35">
      <c r="A157" s="57">
        <f>'графік із підвищеною %'!A40</f>
        <v>12</v>
      </c>
      <c r="B157" s="58">
        <f ca="1">'графік із підвищеною %'!C40</f>
        <v>44593</v>
      </c>
      <c r="C157" s="59">
        <f ca="1">'графік із підвищеною %'!D40</f>
        <v>31</v>
      </c>
      <c r="D157" s="60">
        <f>'графік із підвищеною %'!E40</f>
        <v>400000.03666666651</v>
      </c>
      <c r="E157" s="61">
        <f ca="1">'графік із підвищеною %'!H40</f>
        <v>18733.97</v>
      </c>
      <c r="F157" s="60">
        <f>'графік із підвищеною %'!F40</f>
        <v>8333.33</v>
      </c>
      <c r="G157" s="61">
        <f ca="1">'графік із підвищеною %'!G40</f>
        <v>10400.64</v>
      </c>
      <c r="H157" s="61" t="str">
        <f>'графік із підвищеною %'!M40</f>
        <v/>
      </c>
      <c r="I157" s="61" t="str">
        <f>'графік із підвищеною %'!N40</f>
        <v/>
      </c>
      <c r="J157" s="61" t="str">
        <f>'графік із підвищеною %'!O40</f>
        <v/>
      </c>
      <c r="K157" s="64"/>
      <c r="L157" s="130" t="str">
        <f>'графік із підвищеною %'!I40</f>
        <v/>
      </c>
      <c r="M157" s="130" t="str">
        <f>'графік із підвищеною %'!J40</f>
        <v/>
      </c>
      <c r="N157" s="130" t="str">
        <f>'графік із підвищеною %'!K40</f>
        <v/>
      </c>
      <c r="O157" s="130" t="str">
        <f>'графік із підвищеною %'!L40</f>
        <v/>
      </c>
      <c r="P157" s="132" t="str">
        <f>'графік із підвищеною %'!Q40</f>
        <v/>
      </c>
      <c r="Q157" s="61" t="str">
        <f t="shared" ca="1" si="2"/>
        <v xml:space="preserve"> </v>
      </c>
    </row>
    <row r="158" spans="1:17" x14ac:dyDescent="0.35">
      <c r="A158" s="57">
        <f>'графік із підвищеною %'!A41</f>
        <v>13</v>
      </c>
      <c r="B158" s="58">
        <f ca="1">'графік із підвищеною %'!C41</f>
        <v>44621</v>
      </c>
      <c r="C158" s="59">
        <f ca="1">'графік із підвищеною %'!D41</f>
        <v>28</v>
      </c>
      <c r="D158" s="60">
        <f>'графік із підвищеною %'!E41</f>
        <v>391666.70666666649</v>
      </c>
      <c r="E158" s="61">
        <f ca="1">'графік із підвищеною %'!H41</f>
        <v>17535.739999999998</v>
      </c>
      <c r="F158" s="60">
        <f>'графік із підвищеною %'!F41</f>
        <v>8333.33</v>
      </c>
      <c r="G158" s="61">
        <f ca="1">'графік із підвищеною %'!G41</f>
        <v>9202.41</v>
      </c>
      <c r="H158" s="61" t="str">
        <f>'графік із підвищеною %'!M41</f>
        <v/>
      </c>
      <c r="I158" s="61" t="str">
        <f>'графік із підвищеною %'!N41</f>
        <v/>
      </c>
      <c r="J158" s="61">
        <f>'графік із підвищеною %'!O41</f>
        <v>2181</v>
      </c>
      <c r="K158" s="64"/>
      <c r="L158" s="130" t="str">
        <f>'графік із підвищеною %'!I41</f>
        <v/>
      </c>
      <c r="M158" s="130" t="str">
        <f>'графік із підвищеною %'!J41</f>
        <v/>
      </c>
      <c r="N158" s="130" t="str">
        <f>'графік із підвищеною %'!K41</f>
        <v/>
      </c>
      <c r="O158" s="130" t="str">
        <f>'графік із підвищеною %'!L41</f>
        <v/>
      </c>
      <c r="P158" s="132" t="str">
        <f>'графік із підвищеною %'!Q41</f>
        <v/>
      </c>
      <c r="Q158" s="61" t="str">
        <f t="shared" ca="1" si="2"/>
        <v xml:space="preserve"> </v>
      </c>
    </row>
    <row r="159" spans="1:17" x14ac:dyDescent="0.35">
      <c r="A159" s="57">
        <f>'графік із підвищеною %'!A42</f>
        <v>14</v>
      </c>
      <c r="B159" s="58">
        <f ca="1">'графік із підвищеною %'!C42</f>
        <v>44652</v>
      </c>
      <c r="C159" s="59">
        <f ca="1">'графік із підвищеною %'!D42</f>
        <v>31</v>
      </c>
      <c r="D159" s="60">
        <f>'графік із підвищеною %'!E42</f>
        <v>383333.37666666647</v>
      </c>
      <c r="E159" s="61">
        <f ca="1">'графік із підвищеною %'!H42</f>
        <v>18309.46</v>
      </c>
      <c r="F159" s="60">
        <f>'графік із підвищеною %'!F42</f>
        <v>8333.33</v>
      </c>
      <c r="G159" s="61">
        <f ca="1">'графік із підвищеною %'!G42</f>
        <v>9976.1299999999992</v>
      </c>
      <c r="H159" s="61" t="str">
        <f>'графік із підвищеною %'!M42</f>
        <v/>
      </c>
      <c r="I159" s="61" t="str">
        <f>'графік із підвищеною %'!N42</f>
        <v/>
      </c>
      <c r="J159" s="61" t="str">
        <f>'графік із підвищеною %'!O42</f>
        <v/>
      </c>
      <c r="K159" s="64"/>
      <c r="L159" s="130" t="str">
        <f>'графік із підвищеною %'!I42</f>
        <v/>
      </c>
      <c r="M159" s="130" t="str">
        <f>'графік із підвищеною %'!J42</f>
        <v/>
      </c>
      <c r="N159" s="130" t="str">
        <f>'графік із підвищеною %'!K42</f>
        <v/>
      </c>
      <c r="O159" s="130" t="str">
        <f>'графік із підвищеною %'!L42</f>
        <v/>
      </c>
      <c r="P159" s="132" t="str">
        <f>'графік із підвищеною %'!Q42</f>
        <v/>
      </c>
      <c r="Q159" s="61" t="str">
        <f t="shared" ca="1" si="2"/>
        <v xml:space="preserve"> </v>
      </c>
    </row>
    <row r="160" spans="1:17" x14ac:dyDescent="0.35">
      <c r="A160" s="57">
        <f>'графік із підвищеною %'!A43</f>
        <v>15</v>
      </c>
      <c r="B160" s="58">
        <f ca="1">'графік із підвищеною %'!C43</f>
        <v>44682</v>
      </c>
      <c r="C160" s="59">
        <f ca="1">'графік із підвищеною %'!D43</f>
        <v>30</v>
      </c>
      <c r="D160" s="60">
        <f>'графік із підвищеною %'!E43</f>
        <v>375000.04666666646</v>
      </c>
      <c r="E160" s="61">
        <f ca="1">'графік із підвищеною %'!H43</f>
        <v>17782.239999999998</v>
      </c>
      <c r="F160" s="60">
        <f>'графік із підвищеною %'!F43</f>
        <v>8333.33</v>
      </c>
      <c r="G160" s="61">
        <f ca="1">'графік із підвищеною %'!G43</f>
        <v>9448.91</v>
      </c>
      <c r="H160" s="61" t="str">
        <f>'графік із підвищеною %'!M43</f>
        <v/>
      </c>
      <c r="I160" s="61" t="str">
        <f>'графік із підвищеною %'!N43</f>
        <v/>
      </c>
      <c r="J160" s="61" t="str">
        <f>'графік із підвищеною %'!O43</f>
        <v/>
      </c>
      <c r="K160" s="64"/>
      <c r="L160" s="130" t="str">
        <f>'графік із підвищеною %'!I43</f>
        <v/>
      </c>
      <c r="M160" s="130" t="str">
        <f>'графік із підвищеною %'!J43</f>
        <v/>
      </c>
      <c r="N160" s="130" t="str">
        <f>'графік із підвищеною %'!K43</f>
        <v/>
      </c>
      <c r="O160" s="130" t="str">
        <f>'графік із підвищеною %'!L43</f>
        <v/>
      </c>
      <c r="P160" s="132" t="str">
        <f>'графік із підвищеною %'!Q43</f>
        <v/>
      </c>
      <c r="Q160" s="61" t="str">
        <f t="shared" ca="1" si="2"/>
        <v xml:space="preserve"> </v>
      </c>
    </row>
    <row r="161" spans="1:17" x14ac:dyDescent="0.35">
      <c r="A161" s="57">
        <f>'графік із підвищеною %'!A44</f>
        <v>16</v>
      </c>
      <c r="B161" s="58">
        <f ca="1">'графік із підвищеною %'!C44</f>
        <v>44713</v>
      </c>
      <c r="C161" s="59">
        <f ca="1">'графік із підвищеною %'!D44</f>
        <v>31</v>
      </c>
      <c r="D161" s="60">
        <f>'графік із підвищеною %'!E44</f>
        <v>366666.71666666644</v>
      </c>
      <c r="E161" s="61">
        <f ca="1">'графік із підвищеною %'!H44</f>
        <v>17884.940000000002</v>
      </c>
      <c r="F161" s="60">
        <f>'графік із підвищеною %'!F44</f>
        <v>8333.33</v>
      </c>
      <c r="G161" s="61">
        <f ca="1">'графік із підвищеною %'!G44</f>
        <v>9551.61</v>
      </c>
      <c r="H161" s="61" t="str">
        <f>'графік із підвищеною %'!M44</f>
        <v/>
      </c>
      <c r="I161" s="61" t="str">
        <f>'графік із підвищеною %'!N44</f>
        <v/>
      </c>
      <c r="J161" s="61" t="str">
        <f>'графік із підвищеною %'!O44</f>
        <v/>
      </c>
      <c r="K161" s="64"/>
      <c r="L161" s="130" t="str">
        <f>'графік із підвищеною %'!I44</f>
        <v/>
      </c>
      <c r="M161" s="180">
        <f>'графік із підвищеною %'!J44</f>
        <v>0</v>
      </c>
      <c r="N161" s="130" t="str">
        <f>'графік із підвищеною %'!K44</f>
        <v/>
      </c>
      <c r="O161" s="130" t="str">
        <f>'графік із підвищеною %'!L44</f>
        <v/>
      </c>
      <c r="P161" s="132" t="str">
        <f>'графік із підвищеною %'!Q44</f>
        <v/>
      </c>
      <c r="Q161" s="61" t="str">
        <f t="shared" ca="1" si="2"/>
        <v xml:space="preserve"> </v>
      </c>
    </row>
    <row r="162" spans="1:17" x14ac:dyDescent="0.35">
      <c r="A162" s="57">
        <f>'графік із підвищеною %'!A45</f>
        <v>17</v>
      </c>
      <c r="B162" s="58">
        <f ca="1">'графік із підвищеною %'!C45</f>
        <v>44743</v>
      </c>
      <c r="C162" s="59">
        <f ca="1">'графік із підвищеною %'!D45</f>
        <v>30</v>
      </c>
      <c r="D162" s="60">
        <f>'графік із підвищеною %'!E45</f>
        <v>358333.38666666643</v>
      </c>
      <c r="E162" s="61">
        <f ca="1">'графік із підвищеною %'!H45</f>
        <v>17371.41</v>
      </c>
      <c r="F162" s="60">
        <f>'графік із підвищеною %'!F45</f>
        <v>8333.33</v>
      </c>
      <c r="G162" s="61">
        <f ca="1">'графік із підвищеною %'!G45</f>
        <v>9038.08</v>
      </c>
      <c r="H162" s="61" t="str">
        <f>'графік із підвищеною %'!M45</f>
        <v/>
      </c>
      <c r="I162" s="61" t="str">
        <f>'графік із підвищеною %'!N45</f>
        <v/>
      </c>
      <c r="J162" s="61" t="str">
        <f>'графік із підвищеною %'!O45</f>
        <v/>
      </c>
      <c r="K162" s="64"/>
      <c r="L162" s="130" t="str">
        <f>'графік із підвищеною %'!I45</f>
        <v/>
      </c>
      <c r="M162" s="130" t="str">
        <f>'графік із підвищеною %'!J45</f>
        <v/>
      </c>
      <c r="N162" s="130" t="str">
        <f>'графік із підвищеною %'!K45</f>
        <v/>
      </c>
      <c r="O162" s="130" t="str">
        <f>'графік із підвищеною %'!L45</f>
        <v/>
      </c>
      <c r="P162" s="132" t="str">
        <f>'графік із підвищеною %'!Q45</f>
        <v/>
      </c>
      <c r="Q162" s="61" t="str">
        <f t="shared" ca="1" si="2"/>
        <v xml:space="preserve"> </v>
      </c>
    </row>
    <row r="163" spans="1:17" x14ac:dyDescent="0.35">
      <c r="A163" s="57">
        <f>'графік із підвищеною %'!A46</f>
        <v>18</v>
      </c>
      <c r="B163" s="58">
        <f ca="1">'графік із підвищеною %'!C46</f>
        <v>44774</v>
      </c>
      <c r="C163" s="59">
        <f ca="1">'графік із підвищеною %'!D46</f>
        <v>31</v>
      </c>
      <c r="D163" s="60">
        <f>'графік із підвищеною %'!E46</f>
        <v>350000.05666666641</v>
      </c>
      <c r="E163" s="61">
        <f ca="1">'графік із підвищеною %'!H46</f>
        <v>17460.419999999998</v>
      </c>
      <c r="F163" s="60">
        <f>'графік із підвищеною %'!F46</f>
        <v>8333.33</v>
      </c>
      <c r="G163" s="61">
        <f ca="1">'графік із підвищеною %'!G46</f>
        <v>9127.09</v>
      </c>
      <c r="H163" s="61" t="str">
        <f>'графік із підвищеною %'!M46</f>
        <v/>
      </c>
      <c r="I163" s="61" t="str">
        <f>'графік із підвищеною %'!N46</f>
        <v/>
      </c>
      <c r="J163" s="61" t="str">
        <f>'графік із підвищеною %'!O46</f>
        <v/>
      </c>
      <c r="K163" s="64"/>
      <c r="L163" s="130" t="str">
        <f>'графік із підвищеною %'!I46</f>
        <v/>
      </c>
      <c r="M163" s="130" t="str">
        <f>'графік із підвищеною %'!J46</f>
        <v/>
      </c>
      <c r="N163" s="130" t="str">
        <f>'графік із підвищеною %'!K46</f>
        <v/>
      </c>
      <c r="O163" s="130" t="str">
        <f>'графік із підвищеною %'!L46</f>
        <v/>
      </c>
      <c r="P163" s="132" t="str">
        <f>'графік із підвищеною %'!Q46</f>
        <v/>
      </c>
      <c r="Q163" s="61" t="str">
        <f t="shared" ca="1" si="2"/>
        <v xml:space="preserve"> </v>
      </c>
    </row>
    <row r="164" spans="1:17" x14ac:dyDescent="0.35">
      <c r="A164" s="57">
        <f>'графік із підвищеною %'!A47</f>
        <v>19</v>
      </c>
      <c r="B164" s="58">
        <f ca="1">'графік із підвищеною %'!C47</f>
        <v>44805</v>
      </c>
      <c r="C164" s="59">
        <f ca="1">'графік із підвищеною %'!D47</f>
        <v>31</v>
      </c>
      <c r="D164" s="60">
        <f>'графік із підвищеною %'!E47</f>
        <v>341666.72666666639</v>
      </c>
      <c r="E164" s="61">
        <f ca="1">'графік із підвищеною %'!H47</f>
        <v>17248.169999999998</v>
      </c>
      <c r="F164" s="60">
        <f>'графік із підвищеною %'!F47</f>
        <v>8333.33</v>
      </c>
      <c r="G164" s="61">
        <f ca="1">'графік із підвищеною %'!G47</f>
        <v>8914.84</v>
      </c>
      <c r="H164" s="61" t="str">
        <f>'графік із підвищеною %'!M47</f>
        <v/>
      </c>
      <c r="I164" s="61" t="str">
        <f>'графік із підвищеною %'!N47</f>
        <v/>
      </c>
      <c r="J164" s="61" t="str">
        <f>'графік із підвищеною %'!O47</f>
        <v/>
      </c>
      <c r="K164" s="64"/>
      <c r="L164" s="130" t="str">
        <f>'графік із підвищеною %'!I47</f>
        <v/>
      </c>
      <c r="M164" s="130" t="str">
        <f>'графік із підвищеною %'!J47</f>
        <v/>
      </c>
      <c r="N164" s="130" t="str">
        <f>'графік із підвищеною %'!K47</f>
        <v/>
      </c>
      <c r="O164" s="130" t="str">
        <f>'графік із підвищеною %'!L47</f>
        <v/>
      </c>
      <c r="P164" s="132" t="str">
        <f>'графік із підвищеною %'!Q47</f>
        <v/>
      </c>
      <c r="Q164" s="61" t="str">
        <f t="shared" ca="1" si="2"/>
        <v xml:space="preserve"> </v>
      </c>
    </row>
    <row r="165" spans="1:17" x14ac:dyDescent="0.35">
      <c r="A165" s="57">
        <f>'графік із підвищеною %'!A48</f>
        <v>20</v>
      </c>
      <c r="B165" s="58">
        <f ca="1">'графік із підвищеною %'!C48</f>
        <v>44835</v>
      </c>
      <c r="C165" s="59">
        <f ca="1">'графік із підвищеною %'!D48</f>
        <v>30</v>
      </c>
      <c r="D165" s="60">
        <f>'графік із підвищеною %'!E48</f>
        <v>333333.39666666638</v>
      </c>
      <c r="E165" s="61">
        <f ca="1">'графік із підвищеною %'!H48</f>
        <v>16755.18</v>
      </c>
      <c r="F165" s="60">
        <f>'графік із підвищеною %'!F48</f>
        <v>8333.33</v>
      </c>
      <c r="G165" s="61">
        <f ca="1">'графік із підвищеною %'!G48</f>
        <v>8421.85</v>
      </c>
      <c r="H165" s="61" t="str">
        <f>'графік із підвищеною %'!M48</f>
        <v/>
      </c>
      <c r="I165" s="61" t="str">
        <f>'графік із підвищеною %'!N48</f>
        <v/>
      </c>
      <c r="J165" s="61" t="str">
        <f>'графік із підвищеною %'!O48</f>
        <v/>
      </c>
      <c r="K165" s="64"/>
      <c r="L165" s="130" t="str">
        <f>'графік із підвищеною %'!I48</f>
        <v/>
      </c>
      <c r="M165" s="130" t="str">
        <f>'графік із підвищеною %'!J48</f>
        <v/>
      </c>
      <c r="N165" s="130" t="str">
        <f>'графік із підвищеною %'!K48</f>
        <v/>
      </c>
      <c r="O165" s="130" t="str">
        <f>'графік із підвищеною %'!L48</f>
        <v/>
      </c>
      <c r="P165" s="132" t="str">
        <f>'графік із підвищеною %'!Q48</f>
        <v/>
      </c>
      <c r="Q165" s="61" t="str">
        <f t="shared" ca="1" si="2"/>
        <v xml:space="preserve"> </v>
      </c>
    </row>
    <row r="166" spans="1:17" x14ac:dyDescent="0.35">
      <c r="A166" s="57">
        <f>'графік із підвищеною %'!A49</f>
        <v>21</v>
      </c>
      <c r="B166" s="58">
        <f ca="1">'графік із підвищеною %'!C49</f>
        <v>44866</v>
      </c>
      <c r="C166" s="59">
        <f ca="1">'графік із підвищеною %'!D49</f>
        <v>31</v>
      </c>
      <c r="D166" s="60">
        <f>'графік із підвищеною %'!E49</f>
        <v>325000.06666666636</v>
      </c>
      <c r="E166" s="61">
        <f ca="1">'графік із підвищеною %'!H49</f>
        <v>16823.650000000001</v>
      </c>
      <c r="F166" s="60">
        <f>'графік із підвищеною %'!F49</f>
        <v>8333.33</v>
      </c>
      <c r="G166" s="61">
        <f ca="1">'графік із підвищеною %'!G49</f>
        <v>8490.32</v>
      </c>
      <c r="H166" s="61" t="str">
        <f>'графік із підвищеною %'!M49</f>
        <v/>
      </c>
      <c r="I166" s="61" t="str">
        <f>'графік із підвищеною %'!N49</f>
        <v/>
      </c>
      <c r="J166" s="61" t="str">
        <f>'графік із підвищеною %'!O49</f>
        <v/>
      </c>
      <c r="K166" s="64"/>
      <c r="L166" s="130" t="str">
        <f>'графік із підвищеною %'!I49</f>
        <v/>
      </c>
      <c r="M166" s="130" t="str">
        <f>'графік із підвищеною %'!J49</f>
        <v/>
      </c>
      <c r="N166" s="130" t="str">
        <f>'графік із підвищеною %'!K49</f>
        <v/>
      </c>
      <c r="O166" s="130" t="str">
        <f>'графік із підвищеною %'!L49</f>
        <v/>
      </c>
      <c r="P166" s="132" t="str">
        <f>'графік із підвищеною %'!Q49</f>
        <v/>
      </c>
      <c r="Q166" s="61" t="str">
        <f t="shared" ca="1" si="2"/>
        <v xml:space="preserve"> </v>
      </c>
    </row>
    <row r="167" spans="1:17" x14ac:dyDescent="0.35">
      <c r="A167" s="57">
        <f>'графік із підвищеною %'!A50</f>
        <v>22</v>
      </c>
      <c r="B167" s="58">
        <f ca="1">'графік із підвищеною %'!C50</f>
        <v>44896</v>
      </c>
      <c r="C167" s="59">
        <f ca="1">'графік із підвищеною %'!D50</f>
        <v>30</v>
      </c>
      <c r="D167" s="60">
        <f>'графік із підвищеною %'!E50</f>
        <v>316666.73666666634</v>
      </c>
      <c r="E167" s="61">
        <f ca="1">'графік із підвищеною %'!H50</f>
        <v>16344.36</v>
      </c>
      <c r="F167" s="60">
        <f>'графік із підвищеною %'!F50</f>
        <v>8333.33</v>
      </c>
      <c r="G167" s="61">
        <f ca="1">'графік із підвищеною %'!G50</f>
        <v>8011.03</v>
      </c>
      <c r="H167" s="61" t="str">
        <f>'графік із підвищеною %'!M50</f>
        <v/>
      </c>
      <c r="I167" s="61" t="str">
        <f>'графік із підвищеною %'!N50</f>
        <v/>
      </c>
      <c r="J167" s="61" t="str">
        <f>'графік із підвищеною %'!O50</f>
        <v/>
      </c>
      <c r="K167" s="64"/>
      <c r="L167" s="130" t="str">
        <f>'графік із підвищеною %'!I50</f>
        <v/>
      </c>
      <c r="M167" s="130" t="str">
        <f>'графік із підвищеною %'!J50</f>
        <v/>
      </c>
      <c r="N167" s="130" t="str">
        <f>'графік із підвищеною %'!K50</f>
        <v/>
      </c>
      <c r="O167" s="130" t="str">
        <f>'графік із підвищеною %'!L50</f>
        <v/>
      </c>
      <c r="P167" s="132" t="str">
        <f>'графік із підвищеною %'!Q50</f>
        <v/>
      </c>
      <c r="Q167" s="61" t="str">
        <f t="shared" ca="1" si="2"/>
        <v xml:space="preserve"> </v>
      </c>
    </row>
    <row r="168" spans="1:17" x14ac:dyDescent="0.35">
      <c r="A168" s="57">
        <f>'графік із підвищеною %'!A51</f>
        <v>23</v>
      </c>
      <c r="B168" s="58">
        <f ca="1">'графік із підвищеною %'!C51</f>
        <v>44927</v>
      </c>
      <c r="C168" s="59">
        <f ca="1">'графік із підвищеною %'!D51</f>
        <v>31</v>
      </c>
      <c r="D168" s="60">
        <f>'графік із підвищеною %'!E51</f>
        <v>308333.40666666633</v>
      </c>
      <c r="E168" s="61">
        <f ca="1">'графік із підвищеною %'!H51</f>
        <v>16399.14</v>
      </c>
      <c r="F168" s="60">
        <f>'графік із підвищеною %'!F51</f>
        <v>8333.33</v>
      </c>
      <c r="G168" s="61">
        <f ca="1">'графік із підвищеною %'!G51</f>
        <v>8065.81</v>
      </c>
      <c r="H168" s="61" t="str">
        <f>'графік із підвищеною %'!M51</f>
        <v/>
      </c>
      <c r="I168" s="61" t="str">
        <f>'графік із підвищеною %'!N51</f>
        <v/>
      </c>
      <c r="J168" s="61" t="str">
        <f>'графік із підвищеною %'!O51</f>
        <v/>
      </c>
      <c r="K168" s="64"/>
      <c r="L168" s="130" t="str">
        <f>'графік із підвищеною %'!I51</f>
        <v/>
      </c>
      <c r="M168" s="130" t="str">
        <f>'графік із підвищеною %'!J51</f>
        <v/>
      </c>
      <c r="N168" s="130" t="str">
        <f>'графік із підвищеною %'!K51</f>
        <v/>
      </c>
      <c r="O168" s="130" t="str">
        <f>'графік із підвищеною %'!L51</f>
        <v/>
      </c>
      <c r="P168" s="132" t="str">
        <f>'графік із підвищеною %'!Q51</f>
        <v/>
      </c>
      <c r="Q168" s="61" t="str">
        <f t="shared" ca="1" si="2"/>
        <v xml:space="preserve"> </v>
      </c>
    </row>
    <row r="169" spans="1:17" x14ac:dyDescent="0.35">
      <c r="A169" s="57">
        <f>'графік із підвищеною %'!A52</f>
        <v>24</v>
      </c>
      <c r="B169" s="58">
        <f ca="1">'графік із підвищеною %'!C52</f>
        <v>44958</v>
      </c>
      <c r="C169" s="59">
        <f ca="1">'графік із підвищеною %'!D52</f>
        <v>31</v>
      </c>
      <c r="D169" s="60">
        <f>'графік із підвищеною %'!E52</f>
        <v>300000.07666666631</v>
      </c>
      <c r="E169" s="61">
        <f ca="1">'графік із підвищеною %'!H52</f>
        <v>16186.880000000001</v>
      </c>
      <c r="F169" s="60">
        <f>'графік із підвищеною %'!F52</f>
        <v>8333.33</v>
      </c>
      <c r="G169" s="61">
        <f ca="1">'графік із підвищеною %'!G52</f>
        <v>7853.55</v>
      </c>
      <c r="H169" s="61" t="str">
        <f>'графік із підвищеною %'!M52</f>
        <v/>
      </c>
      <c r="I169" s="61" t="str">
        <f>'графік із підвищеною %'!N52</f>
        <v/>
      </c>
      <c r="J169" s="61" t="str">
        <f>'графік із підвищеною %'!O52</f>
        <v/>
      </c>
      <c r="K169" s="64"/>
      <c r="L169" s="130" t="str">
        <f>'графік із підвищеною %'!I52</f>
        <v/>
      </c>
      <c r="M169" s="130" t="str">
        <f>'графік із підвищеною %'!J52</f>
        <v/>
      </c>
      <c r="N169" s="130" t="str">
        <f>'графік із підвищеною %'!K52</f>
        <v/>
      </c>
      <c r="O169" s="130" t="str">
        <f>'графік із підвищеною %'!L52</f>
        <v/>
      </c>
      <c r="P169" s="132" t="str">
        <f>'графік із підвищеною %'!Q52</f>
        <v/>
      </c>
      <c r="Q169" s="61" t="str">
        <f t="shared" ca="1" si="2"/>
        <v xml:space="preserve"> </v>
      </c>
    </row>
    <row r="170" spans="1:17" x14ac:dyDescent="0.35">
      <c r="A170" s="57">
        <f>'графік із підвищеною %'!A53</f>
        <v>25</v>
      </c>
      <c r="B170" s="58">
        <f ca="1">'графік із підвищеною %'!C53</f>
        <v>44986</v>
      </c>
      <c r="C170" s="59">
        <f ca="1">'графік із підвищеною %'!D53</f>
        <v>28</v>
      </c>
      <c r="D170" s="60">
        <f>'графік із підвищеною %'!E53</f>
        <v>291666.74666666629</v>
      </c>
      <c r="E170" s="61">
        <f ca="1">'графік із підвищеною %'!H53</f>
        <v>15235.14</v>
      </c>
      <c r="F170" s="60">
        <f>'графік із підвищеною %'!F53</f>
        <v>8333.33</v>
      </c>
      <c r="G170" s="61">
        <f ca="1">'графік із підвищеною %'!G53</f>
        <v>6901.81</v>
      </c>
      <c r="H170" s="61" t="str">
        <f>'графік із підвищеною %'!M53</f>
        <v/>
      </c>
      <c r="I170" s="61" t="str">
        <f>'графік із підвищеною %'!N53</f>
        <v/>
      </c>
      <c r="J170" s="61">
        <f>'графік із підвищеною %'!O53</f>
        <v>2181</v>
      </c>
      <c r="K170" s="64"/>
      <c r="L170" s="130" t="str">
        <f>'графік із підвищеною %'!I53</f>
        <v/>
      </c>
      <c r="M170" s="130" t="str">
        <f>'графік із підвищеною %'!J53</f>
        <v/>
      </c>
      <c r="N170" s="130" t="str">
        <f>'графік із підвищеною %'!K53</f>
        <v/>
      </c>
      <c r="O170" s="130" t="str">
        <f>'графік із підвищеною %'!L53</f>
        <v/>
      </c>
      <c r="P170" s="132" t="str">
        <f>'графік із підвищеною %'!Q53</f>
        <v/>
      </c>
      <c r="Q170" s="61" t="str">
        <f t="shared" ca="1" si="2"/>
        <v xml:space="preserve"> </v>
      </c>
    </row>
    <row r="171" spans="1:17" x14ac:dyDescent="0.35">
      <c r="A171" s="57">
        <f>'графік із підвищеною %'!A54</f>
        <v>26</v>
      </c>
      <c r="B171" s="58">
        <f ca="1">'графік із підвищеною %'!C54</f>
        <v>45017</v>
      </c>
      <c r="C171" s="59">
        <f ca="1">'графік із підвищеною %'!D54</f>
        <v>31</v>
      </c>
      <c r="D171" s="60">
        <f>'графік із підвищеною %'!E54</f>
        <v>283333.41666666628</v>
      </c>
      <c r="E171" s="61">
        <f ca="1">'графік із підвищеною %'!H54</f>
        <v>15762.36</v>
      </c>
      <c r="F171" s="60">
        <f>'графік із підвищеною %'!F54</f>
        <v>8333.33</v>
      </c>
      <c r="G171" s="61">
        <f ca="1">'графік із підвищеною %'!G54</f>
        <v>7429.03</v>
      </c>
      <c r="H171" s="61" t="str">
        <f>'графік із підвищеною %'!M54</f>
        <v/>
      </c>
      <c r="I171" s="61" t="str">
        <f>'графік із підвищеною %'!N54</f>
        <v/>
      </c>
      <c r="J171" s="61" t="str">
        <f>'графік із підвищеною %'!O54</f>
        <v/>
      </c>
      <c r="K171" s="64"/>
      <c r="L171" s="130" t="str">
        <f>'графік із підвищеною %'!I54</f>
        <v/>
      </c>
      <c r="M171" s="130" t="str">
        <f>'графік із підвищеною %'!J54</f>
        <v/>
      </c>
      <c r="N171" s="130" t="str">
        <f>'графік із підвищеною %'!K54</f>
        <v/>
      </c>
      <c r="O171" s="130" t="str">
        <f>'графік із підвищеною %'!L54</f>
        <v/>
      </c>
      <c r="P171" s="132" t="str">
        <f>'графік із підвищеною %'!Q54</f>
        <v/>
      </c>
      <c r="Q171" s="61" t="str">
        <f t="shared" ca="1" si="2"/>
        <v xml:space="preserve"> </v>
      </c>
    </row>
    <row r="172" spans="1:17" x14ac:dyDescent="0.35">
      <c r="A172" s="57">
        <f>'графік із підвищеною %'!A55</f>
        <v>27</v>
      </c>
      <c r="B172" s="58">
        <f ca="1">'графік із підвищеною %'!C55</f>
        <v>45047</v>
      </c>
      <c r="C172" s="59">
        <f ca="1">'графік із підвищеною %'!D55</f>
        <v>30</v>
      </c>
      <c r="D172" s="60">
        <f>'графік із підвищеною %'!E55</f>
        <v>275000.08666666626</v>
      </c>
      <c r="E172" s="61">
        <f ca="1">'графік із підвищеною %'!H55</f>
        <v>15317.3</v>
      </c>
      <c r="F172" s="60">
        <f>'графік із підвищеною %'!F55</f>
        <v>8333.33</v>
      </c>
      <c r="G172" s="61">
        <f ca="1">'графік із підвищеною %'!G55</f>
        <v>6983.97</v>
      </c>
      <c r="H172" s="61" t="str">
        <f>'графік із підвищеною %'!M55</f>
        <v/>
      </c>
      <c r="I172" s="61" t="str">
        <f>'графік із підвищеною %'!N55</f>
        <v/>
      </c>
      <c r="J172" s="61" t="str">
        <f>'графік із підвищеною %'!O55</f>
        <v/>
      </c>
      <c r="K172" s="64"/>
      <c r="L172" s="130" t="str">
        <f>'графік із підвищеною %'!I55</f>
        <v/>
      </c>
      <c r="M172" s="130" t="str">
        <f>'графік із підвищеною %'!J55</f>
        <v/>
      </c>
      <c r="N172" s="130" t="str">
        <f>'графік із підвищеною %'!K55</f>
        <v/>
      </c>
      <c r="O172" s="130" t="str">
        <f>'графік із підвищеною %'!L55</f>
        <v/>
      </c>
      <c r="P172" s="132" t="str">
        <f>'графік із підвищеною %'!Q55</f>
        <v/>
      </c>
      <c r="Q172" s="61" t="str">
        <f t="shared" ca="1" si="2"/>
        <v xml:space="preserve"> </v>
      </c>
    </row>
    <row r="173" spans="1:17" x14ac:dyDescent="0.35">
      <c r="A173" s="57">
        <f>'графік із підвищеною %'!A56</f>
        <v>28</v>
      </c>
      <c r="B173" s="58">
        <f ca="1">'графік із підвищеною %'!C56</f>
        <v>45078</v>
      </c>
      <c r="C173" s="59">
        <f ca="1">'графік із підвищеною %'!D56</f>
        <v>31</v>
      </c>
      <c r="D173" s="60">
        <f>'графік із підвищеною %'!E56</f>
        <v>266666.75666666625</v>
      </c>
      <c r="E173" s="61">
        <f ca="1">'графік із підвищеною %'!H56</f>
        <v>15337.85</v>
      </c>
      <c r="F173" s="60">
        <f>'графік із підвищеною %'!F56</f>
        <v>8333.33</v>
      </c>
      <c r="G173" s="61">
        <f ca="1">'графік із підвищеною %'!G56</f>
        <v>7004.52</v>
      </c>
      <c r="H173" s="61" t="str">
        <f>'графік із підвищеною %'!M56</f>
        <v/>
      </c>
      <c r="I173" s="61" t="str">
        <f>'графік із підвищеною %'!N56</f>
        <v/>
      </c>
      <c r="J173" s="61" t="str">
        <f>'графік із підвищеною %'!O56</f>
        <v/>
      </c>
      <c r="K173" s="64"/>
      <c r="L173" s="130" t="str">
        <f>'графік із підвищеною %'!I56</f>
        <v/>
      </c>
      <c r="M173" s="130" t="str">
        <f>'графік із підвищеною %'!J56</f>
        <v/>
      </c>
      <c r="N173" s="130" t="str">
        <f>'графік із підвищеною %'!K56</f>
        <v/>
      </c>
      <c r="O173" s="130" t="str">
        <f>'графік із підвищеною %'!L56</f>
        <v/>
      </c>
      <c r="P173" s="132" t="str">
        <f>'графік із підвищеною %'!Q56</f>
        <v/>
      </c>
      <c r="Q173" s="61" t="str">
        <f t="shared" ca="1" si="2"/>
        <v xml:space="preserve"> </v>
      </c>
    </row>
    <row r="174" spans="1:17" x14ac:dyDescent="0.35">
      <c r="A174" s="57">
        <f>'графік із підвищеною %'!A57</f>
        <v>29</v>
      </c>
      <c r="B174" s="58">
        <f ca="1">'графік із підвищеною %'!C57</f>
        <v>45108</v>
      </c>
      <c r="C174" s="59">
        <f ca="1">'графік із підвищеною %'!D57</f>
        <v>30</v>
      </c>
      <c r="D174" s="60">
        <f>'графік із підвищеною %'!E57</f>
        <v>258333.42666666626</v>
      </c>
      <c r="E174" s="61">
        <f ca="1">'графік із підвищеною %'!H57</f>
        <v>14906.48</v>
      </c>
      <c r="F174" s="60">
        <f>'графік із підвищеною %'!F57</f>
        <v>8333.33</v>
      </c>
      <c r="G174" s="61">
        <f ca="1">'графік із підвищеною %'!G57</f>
        <v>6573.15</v>
      </c>
      <c r="H174" s="61" t="str">
        <f>'графік із підвищеною %'!M57</f>
        <v/>
      </c>
      <c r="I174" s="61" t="str">
        <f>'графік із підвищеною %'!N57</f>
        <v/>
      </c>
      <c r="J174" s="61" t="str">
        <f>'графік із підвищеною %'!O57</f>
        <v/>
      </c>
      <c r="K174" s="64"/>
      <c r="L174" s="130" t="str">
        <f>'графік із підвищеною %'!I57</f>
        <v/>
      </c>
      <c r="M174" s="130" t="str">
        <f>'графік із підвищеною %'!J57</f>
        <v/>
      </c>
      <c r="N174" s="130" t="str">
        <f>'графік із підвищеною %'!K57</f>
        <v/>
      </c>
      <c r="O174" s="130" t="str">
        <f>'графік із підвищеною %'!L57</f>
        <v/>
      </c>
      <c r="P174" s="132" t="str">
        <f>'графік із підвищеною %'!Q57</f>
        <v/>
      </c>
      <c r="Q174" s="61" t="str">
        <f t="shared" ca="1" si="2"/>
        <v xml:space="preserve"> </v>
      </c>
    </row>
    <row r="175" spans="1:17" x14ac:dyDescent="0.35">
      <c r="A175" s="57">
        <f>'графік із підвищеною %'!A58</f>
        <v>30</v>
      </c>
      <c r="B175" s="58">
        <f ca="1">'графік із підвищеною %'!C58</f>
        <v>45139</v>
      </c>
      <c r="C175" s="59">
        <f ca="1">'графік із підвищеною %'!D58</f>
        <v>31</v>
      </c>
      <c r="D175" s="60">
        <f>'графік із підвищеною %'!E58</f>
        <v>250000.09666666627</v>
      </c>
      <c r="E175" s="61">
        <f ca="1">'графік із підвищеною %'!H58</f>
        <v>14913.33</v>
      </c>
      <c r="F175" s="60">
        <f>'графік із підвищеною %'!F58</f>
        <v>8333.33</v>
      </c>
      <c r="G175" s="61">
        <f ca="1">'графік із підвищеною %'!G58</f>
        <v>6580</v>
      </c>
      <c r="H175" s="61" t="str">
        <f>'графік із підвищеною %'!M58</f>
        <v/>
      </c>
      <c r="I175" s="61" t="str">
        <f>'графік із підвищеною %'!N58</f>
        <v/>
      </c>
      <c r="J175" s="61" t="str">
        <f>'графік із підвищеною %'!O58</f>
        <v/>
      </c>
      <c r="K175" s="64"/>
      <c r="L175" s="130" t="str">
        <f>'графік із підвищеною %'!I58</f>
        <v/>
      </c>
      <c r="M175" s="130" t="str">
        <f>'графік із підвищеною %'!J58</f>
        <v/>
      </c>
      <c r="N175" s="130" t="str">
        <f>'графік із підвищеною %'!K58</f>
        <v/>
      </c>
      <c r="O175" s="130" t="str">
        <f>'графік із підвищеною %'!L58</f>
        <v/>
      </c>
      <c r="P175" s="132" t="str">
        <f>'графік із підвищеною %'!Q58</f>
        <v/>
      </c>
      <c r="Q175" s="61" t="str">
        <f t="shared" ca="1" si="2"/>
        <v xml:space="preserve"> </v>
      </c>
    </row>
    <row r="176" spans="1:17" x14ac:dyDescent="0.35">
      <c r="A176" s="57">
        <f>'графік із підвищеною %'!A59</f>
        <v>31</v>
      </c>
      <c r="B176" s="58">
        <f ca="1">'графік із підвищеною %'!C59</f>
        <v>45170</v>
      </c>
      <c r="C176" s="59">
        <f ca="1">'графік із підвищеною %'!D59</f>
        <v>31</v>
      </c>
      <c r="D176" s="60">
        <f>'графік із підвищеною %'!E59</f>
        <v>241666.76666666628</v>
      </c>
      <c r="E176" s="61">
        <f ca="1">'графік із підвищеною %'!H59</f>
        <v>14701.07</v>
      </c>
      <c r="F176" s="60">
        <f>'графік із підвищеною %'!F59</f>
        <v>8333.33</v>
      </c>
      <c r="G176" s="61">
        <f ca="1">'графік із підвищеною %'!G59</f>
        <v>6367.74</v>
      </c>
      <c r="H176" s="61" t="str">
        <f>'графік із підвищеною %'!M59</f>
        <v/>
      </c>
      <c r="I176" s="61" t="str">
        <f>'графік із підвищеною %'!N59</f>
        <v/>
      </c>
      <c r="J176" s="61" t="str">
        <f>'графік із підвищеною %'!O59</f>
        <v/>
      </c>
      <c r="K176" s="64"/>
      <c r="L176" s="130" t="str">
        <f>'графік із підвищеною %'!I59</f>
        <v/>
      </c>
      <c r="M176" s="130" t="str">
        <f>'графік із підвищеною %'!J59</f>
        <v/>
      </c>
      <c r="N176" s="130" t="str">
        <f>'графік із підвищеною %'!K59</f>
        <v/>
      </c>
      <c r="O176" s="130" t="str">
        <f>'графік із підвищеною %'!L59</f>
        <v/>
      </c>
      <c r="P176" s="132" t="str">
        <f>'графік із підвищеною %'!Q59</f>
        <v/>
      </c>
      <c r="Q176" s="61" t="str">
        <f t="shared" ca="1" si="2"/>
        <v xml:space="preserve"> </v>
      </c>
    </row>
    <row r="177" spans="1:17" x14ac:dyDescent="0.35">
      <c r="A177" s="57">
        <f>'графік із підвищеною %'!A60</f>
        <v>32</v>
      </c>
      <c r="B177" s="58">
        <f ca="1">'графік із підвищеною %'!C60</f>
        <v>45200</v>
      </c>
      <c r="C177" s="59">
        <f ca="1">'графік із підвищеною %'!D60</f>
        <v>30</v>
      </c>
      <c r="D177" s="60">
        <f>'графік із підвищеною %'!E60</f>
        <v>233333.4366666663</v>
      </c>
      <c r="E177" s="61">
        <f ca="1">'графік із підвищеною %'!H60</f>
        <v>14290.25</v>
      </c>
      <c r="F177" s="60">
        <f>'графік із підвищеною %'!F60</f>
        <v>8333.33</v>
      </c>
      <c r="G177" s="61">
        <f ca="1">'графік із підвищеною %'!G60</f>
        <v>5956.92</v>
      </c>
      <c r="H177" s="61" t="str">
        <f>'графік із підвищеною %'!M60</f>
        <v/>
      </c>
      <c r="I177" s="61" t="str">
        <f>'графік із підвищеною %'!N60</f>
        <v/>
      </c>
      <c r="J177" s="61" t="str">
        <f>'графік із підвищеною %'!O60</f>
        <v/>
      </c>
      <c r="K177" s="64"/>
      <c r="L177" s="130" t="str">
        <f>'графік із підвищеною %'!I60</f>
        <v/>
      </c>
      <c r="M177" s="130" t="str">
        <f>'графік із підвищеною %'!J60</f>
        <v/>
      </c>
      <c r="N177" s="130" t="str">
        <f>'графік із підвищеною %'!K60</f>
        <v/>
      </c>
      <c r="O177" s="130" t="str">
        <f>'графік із підвищеною %'!L60</f>
        <v/>
      </c>
      <c r="P177" s="132" t="str">
        <f>'графік із підвищеною %'!Q60</f>
        <v/>
      </c>
      <c r="Q177" s="61" t="str">
        <f t="shared" ca="1" si="2"/>
        <v xml:space="preserve"> </v>
      </c>
    </row>
    <row r="178" spans="1:17" x14ac:dyDescent="0.35">
      <c r="A178" s="57">
        <f>'графік із підвищеною %'!A61</f>
        <v>33</v>
      </c>
      <c r="B178" s="58">
        <f ca="1">'графік із підвищеною %'!C61</f>
        <v>45231</v>
      </c>
      <c r="C178" s="59">
        <f ca="1">'графік із підвищеною %'!D61</f>
        <v>31</v>
      </c>
      <c r="D178" s="60">
        <f>'графік із підвищеною %'!E61</f>
        <v>225000.10666666631</v>
      </c>
      <c r="E178" s="61">
        <f ca="1">'графік із підвищеною %'!H61</f>
        <v>14276.56</v>
      </c>
      <c r="F178" s="60">
        <f>'графік із підвищеною %'!F61</f>
        <v>8333.33</v>
      </c>
      <c r="G178" s="61">
        <f ca="1">'графік із підвищеною %'!G61</f>
        <v>5943.23</v>
      </c>
      <c r="H178" s="61" t="str">
        <f>'графік із підвищеною %'!M61</f>
        <v/>
      </c>
      <c r="I178" s="61" t="str">
        <f>'графік із підвищеною %'!N61</f>
        <v/>
      </c>
      <c r="J178" s="61" t="str">
        <f>'графік із підвищеною %'!O61</f>
        <v/>
      </c>
      <c r="K178" s="64"/>
      <c r="L178" s="130" t="str">
        <f>'графік із підвищеною %'!I61</f>
        <v/>
      </c>
      <c r="M178" s="130" t="str">
        <f>'графік із підвищеною %'!J61</f>
        <v/>
      </c>
      <c r="N178" s="130" t="str">
        <f>'графік із підвищеною %'!K61</f>
        <v/>
      </c>
      <c r="O178" s="130" t="str">
        <f>'графік із підвищеною %'!L61</f>
        <v/>
      </c>
      <c r="P178" s="132" t="str">
        <f>'графік із підвищеною %'!Q61</f>
        <v/>
      </c>
      <c r="Q178" s="61" t="str">
        <f t="shared" ca="1" si="2"/>
        <v xml:space="preserve"> </v>
      </c>
    </row>
    <row r="179" spans="1:17" x14ac:dyDescent="0.35">
      <c r="A179" s="57">
        <f>'графік із підвищеною %'!A62</f>
        <v>34</v>
      </c>
      <c r="B179" s="58">
        <f ca="1">'графік із підвищеною %'!C62</f>
        <v>45261</v>
      </c>
      <c r="C179" s="59">
        <f ca="1">'графік із підвищеною %'!D62</f>
        <v>30</v>
      </c>
      <c r="D179" s="60">
        <f>'графік із підвищеною %'!E62</f>
        <v>216666.77666666632</v>
      </c>
      <c r="E179" s="61">
        <f ca="1">'графік із підвищеною %'!H62</f>
        <v>13879.43</v>
      </c>
      <c r="F179" s="60">
        <f>'графік із підвищеною %'!F62</f>
        <v>8333.33</v>
      </c>
      <c r="G179" s="61">
        <f ca="1">'графік із підвищеною %'!G62</f>
        <v>5546.1</v>
      </c>
      <c r="H179" s="61" t="str">
        <f>'графік із підвищеною %'!M62</f>
        <v/>
      </c>
      <c r="I179" s="61" t="str">
        <f>'графік із підвищеною %'!N62</f>
        <v/>
      </c>
      <c r="J179" s="61" t="str">
        <f>'графік із підвищеною %'!O62</f>
        <v/>
      </c>
      <c r="K179" s="64"/>
      <c r="L179" s="130" t="str">
        <f>'графік із підвищеною %'!I62</f>
        <v/>
      </c>
      <c r="M179" s="130" t="str">
        <f>'графік із підвищеною %'!J62</f>
        <v/>
      </c>
      <c r="N179" s="130" t="str">
        <f>'графік із підвищеною %'!K62</f>
        <v/>
      </c>
      <c r="O179" s="130" t="str">
        <f>'графік із підвищеною %'!L62</f>
        <v/>
      </c>
      <c r="P179" s="132" t="str">
        <f>'графік із підвищеною %'!Q62</f>
        <v/>
      </c>
      <c r="Q179" s="61" t="str">
        <f t="shared" ca="1" si="2"/>
        <v xml:space="preserve"> </v>
      </c>
    </row>
    <row r="180" spans="1:17" x14ac:dyDescent="0.35">
      <c r="A180" s="57">
        <f>'графік із підвищеною %'!A63</f>
        <v>35</v>
      </c>
      <c r="B180" s="58">
        <f ca="1">'графік із підвищеною %'!C63</f>
        <v>45292</v>
      </c>
      <c r="C180" s="59">
        <f ca="1">'графік із підвищеною %'!D63</f>
        <v>31</v>
      </c>
      <c r="D180" s="60">
        <f>'графік із підвищеною %'!E63</f>
        <v>208333.44666666634</v>
      </c>
      <c r="E180" s="61">
        <f ca="1">'графік із підвищеною %'!H63</f>
        <v>13852.04</v>
      </c>
      <c r="F180" s="60">
        <f>'графік із підвищеною %'!F63</f>
        <v>8333.33</v>
      </c>
      <c r="G180" s="61">
        <f ca="1">'графік із підвищеною %'!G63</f>
        <v>5518.71</v>
      </c>
      <c r="H180" s="61" t="str">
        <f>'графік із підвищеною %'!M63</f>
        <v/>
      </c>
      <c r="I180" s="61" t="str">
        <f>'графік із підвищеною %'!N63</f>
        <v/>
      </c>
      <c r="J180" s="61" t="str">
        <f>'графік із підвищеною %'!O63</f>
        <v/>
      </c>
      <c r="K180" s="64"/>
      <c r="L180" s="130" t="str">
        <f>'графік із підвищеною %'!I63</f>
        <v/>
      </c>
      <c r="M180" s="130" t="str">
        <f>'графік із підвищеною %'!J63</f>
        <v/>
      </c>
      <c r="N180" s="130" t="str">
        <f>'графік із підвищеною %'!K63</f>
        <v/>
      </c>
      <c r="O180" s="130" t="str">
        <f>'графік із підвищеною %'!L63</f>
        <v/>
      </c>
      <c r="P180" s="132" t="str">
        <f>'графік із підвищеною %'!Q63</f>
        <v/>
      </c>
      <c r="Q180" s="61" t="str">
        <f t="shared" ca="1" si="2"/>
        <v xml:space="preserve"> </v>
      </c>
    </row>
    <row r="181" spans="1:17" x14ac:dyDescent="0.35">
      <c r="A181" s="57">
        <f>'графік із підвищеною %'!A64</f>
        <v>36</v>
      </c>
      <c r="B181" s="58">
        <f ca="1">'графік із підвищеною %'!C64</f>
        <v>45323</v>
      </c>
      <c r="C181" s="59">
        <f ca="1">'графік із підвищеною %'!D64</f>
        <v>31</v>
      </c>
      <c r="D181" s="60">
        <f>'графік із підвищеною %'!E64</f>
        <v>200000.11666666635</v>
      </c>
      <c r="E181" s="61">
        <f ca="1">'графік із підвищеною %'!H64</f>
        <v>13625.279999999999</v>
      </c>
      <c r="F181" s="60">
        <f>'графік із підвищеною %'!F64</f>
        <v>8333.33</v>
      </c>
      <c r="G181" s="61">
        <f ca="1">'графік із підвищеною %'!G64</f>
        <v>5291.95</v>
      </c>
      <c r="H181" s="61" t="str">
        <f>'графік із підвищеною %'!M64</f>
        <v/>
      </c>
      <c r="I181" s="61" t="str">
        <f>'графік із підвищеною %'!N64</f>
        <v/>
      </c>
      <c r="J181" s="61" t="str">
        <f>'графік із підвищеною %'!O64</f>
        <v/>
      </c>
      <c r="K181" s="64"/>
      <c r="L181" s="130" t="str">
        <f>'графік із підвищеною %'!I64</f>
        <v/>
      </c>
      <c r="M181" s="130" t="str">
        <f>'графік із підвищеною %'!J64</f>
        <v/>
      </c>
      <c r="N181" s="130" t="str">
        <f>'графік із підвищеною %'!K64</f>
        <v/>
      </c>
      <c r="O181" s="130" t="str">
        <f>'графік із підвищеною %'!L64</f>
        <v/>
      </c>
      <c r="P181" s="132" t="str">
        <f>'графік із підвищеною %'!Q64</f>
        <v/>
      </c>
      <c r="Q181" s="61" t="str">
        <f t="shared" ca="1" si="2"/>
        <v xml:space="preserve"> </v>
      </c>
    </row>
    <row r="182" spans="1:17" x14ac:dyDescent="0.35">
      <c r="A182" s="57">
        <f>'графік із підвищеною %'!A65</f>
        <v>37</v>
      </c>
      <c r="B182" s="58">
        <f ca="1">'графік із підвищеною %'!C65</f>
        <v>45352</v>
      </c>
      <c r="C182" s="59">
        <f ca="1">'графік із підвищеною %'!D65</f>
        <v>29</v>
      </c>
      <c r="D182" s="60">
        <f>'графік із підвищеною %'!E65</f>
        <v>191666.78666666636</v>
      </c>
      <c r="E182" s="61">
        <f ca="1">'графік із підвищеною %'!H65</f>
        <v>13085.85</v>
      </c>
      <c r="F182" s="60">
        <f>'графік із підвищеною %'!F65</f>
        <v>8333.33</v>
      </c>
      <c r="G182" s="61">
        <f ca="1">'графік із підвищеною %'!G65</f>
        <v>4752.5200000000004</v>
      </c>
      <c r="H182" s="61" t="str">
        <f>'графік із підвищеною %'!M65</f>
        <v/>
      </c>
      <c r="I182" s="61" t="str">
        <f>'графік із підвищеною %'!N65</f>
        <v/>
      </c>
      <c r="J182" s="61">
        <f>'графік із підвищеною %'!O65</f>
        <v>2181</v>
      </c>
      <c r="K182" s="64"/>
      <c r="L182" s="130" t="str">
        <f>'графік із підвищеною %'!I65</f>
        <v/>
      </c>
      <c r="M182" s="130" t="str">
        <f>'графік із підвищеною %'!J65</f>
        <v/>
      </c>
      <c r="N182" s="130" t="str">
        <f>'графік із підвищеною %'!K65</f>
        <v/>
      </c>
      <c r="O182" s="130" t="str">
        <f>'графік із підвищеною %'!L65</f>
        <v/>
      </c>
      <c r="P182" s="132" t="str">
        <f>'графік із підвищеною %'!Q65</f>
        <v/>
      </c>
      <c r="Q182" s="61" t="str">
        <f t="shared" ca="1" si="2"/>
        <v xml:space="preserve"> </v>
      </c>
    </row>
    <row r="183" spans="1:17" x14ac:dyDescent="0.35">
      <c r="A183" s="57">
        <f>'графік із підвищеною %'!A66</f>
        <v>38</v>
      </c>
      <c r="B183" s="58">
        <f ca="1">'графік із підвищеною %'!C66</f>
        <v>45383</v>
      </c>
      <c r="C183" s="59">
        <f ca="1">'графік із підвищеною %'!D66</f>
        <v>31</v>
      </c>
      <c r="D183" s="60">
        <f>'графік із підвищеною %'!E66</f>
        <v>183333.45666666637</v>
      </c>
      <c r="E183" s="61">
        <f ca="1">'графік із підвищеною %'!H66</f>
        <v>13201.93</v>
      </c>
      <c r="F183" s="60">
        <f>'графік із підвищеною %'!F66</f>
        <v>8333.33</v>
      </c>
      <c r="G183" s="61">
        <f ca="1">'графік із підвищеною %'!G66</f>
        <v>4868.6000000000004</v>
      </c>
      <c r="H183" s="61" t="str">
        <f>'графік із підвищеною %'!M66</f>
        <v/>
      </c>
      <c r="I183" s="61" t="str">
        <f>'графік із підвищеною %'!N66</f>
        <v/>
      </c>
      <c r="J183" s="61" t="str">
        <f>'графік із підвищеною %'!O66</f>
        <v/>
      </c>
      <c r="K183" s="64"/>
      <c r="L183" s="130" t="str">
        <f>'графік із підвищеною %'!I66</f>
        <v/>
      </c>
      <c r="M183" s="130" t="str">
        <f>'графік із підвищеною %'!J66</f>
        <v/>
      </c>
      <c r="N183" s="130" t="str">
        <f>'графік із підвищеною %'!K66</f>
        <v/>
      </c>
      <c r="O183" s="130" t="str">
        <f>'графік із підвищеною %'!L66</f>
        <v/>
      </c>
      <c r="P183" s="132" t="str">
        <f>'графік із підвищеною %'!Q66</f>
        <v/>
      </c>
      <c r="Q183" s="61" t="str">
        <f t="shared" ca="1" si="2"/>
        <v xml:space="preserve"> </v>
      </c>
    </row>
    <row r="184" spans="1:17" x14ac:dyDescent="0.35">
      <c r="A184" s="57">
        <f>'графік із підвищеною %'!A67</f>
        <v>39</v>
      </c>
      <c r="B184" s="58">
        <f ca="1">'графік із підвищеною %'!C67</f>
        <v>45413</v>
      </c>
      <c r="C184" s="59">
        <f ca="1">'графік із підвищеною %'!D67</f>
        <v>30</v>
      </c>
      <c r="D184" s="60">
        <f>'графік із підвищеною %'!E67</f>
        <v>175000.12666666639</v>
      </c>
      <c r="E184" s="61">
        <f ca="1">'графік із підвищеною %'!H67</f>
        <v>12840.029999999999</v>
      </c>
      <c r="F184" s="60">
        <f>'графік із підвищеною %'!F67</f>
        <v>8333.33</v>
      </c>
      <c r="G184" s="61">
        <f ca="1">'графік із підвищеною %'!G67</f>
        <v>4506.7</v>
      </c>
      <c r="H184" s="61" t="str">
        <f>'графік із підвищеною %'!M67</f>
        <v/>
      </c>
      <c r="I184" s="61" t="str">
        <f>'графік із підвищеною %'!N67</f>
        <v/>
      </c>
      <c r="J184" s="61" t="str">
        <f>'графік із підвищеною %'!O67</f>
        <v/>
      </c>
      <c r="K184" s="64"/>
      <c r="L184" s="130" t="str">
        <f>'графік із підвищеною %'!I67</f>
        <v/>
      </c>
      <c r="M184" s="130" t="str">
        <f>'графік із підвищеною %'!J67</f>
        <v/>
      </c>
      <c r="N184" s="130" t="str">
        <f>'графік із підвищеною %'!K67</f>
        <v/>
      </c>
      <c r="O184" s="130" t="str">
        <f>'графік із підвищеною %'!L67</f>
        <v/>
      </c>
      <c r="P184" s="132" t="str">
        <f>'графік із підвищеною %'!Q67</f>
        <v/>
      </c>
      <c r="Q184" s="61" t="str">
        <f t="shared" ca="1" si="2"/>
        <v xml:space="preserve"> </v>
      </c>
    </row>
    <row r="185" spans="1:17" x14ac:dyDescent="0.35">
      <c r="A185" s="57">
        <f>'графік із підвищеною %'!A68</f>
        <v>40</v>
      </c>
      <c r="B185" s="58">
        <f ca="1">'графік із підвищеною %'!C68</f>
        <v>45444</v>
      </c>
      <c r="C185" s="59">
        <f ca="1">'графік із підвищеною %'!D68</f>
        <v>31</v>
      </c>
      <c r="D185" s="60">
        <f>'графік із підвищеною %'!E68</f>
        <v>166666.7966666664</v>
      </c>
      <c r="E185" s="61">
        <f ca="1">'графік із підвищеною %'!H68</f>
        <v>12778.57</v>
      </c>
      <c r="F185" s="60">
        <f>'графік із підвищеною %'!F68</f>
        <v>8333.33</v>
      </c>
      <c r="G185" s="61">
        <f ca="1">'графік із підвищеною %'!G68</f>
        <v>4445.24</v>
      </c>
      <c r="H185" s="61" t="str">
        <f>'графік із підвищеною %'!M68</f>
        <v/>
      </c>
      <c r="I185" s="61" t="str">
        <f>'графік із підвищеною %'!N68</f>
        <v/>
      </c>
      <c r="J185" s="61" t="str">
        <f>'графік із підвищеною %'!O68</f>
        <v/>
      </c>
      <c r="K185" s="64"/>
      <c r="L185" s="130" t="str">
        <f>'графік із підвищеною %'!I68</f>
        <v/>
      </c>
      <c r="M185" s="130" t="str">
        <f>'графік із підвищеною %'!J68</f>
        <v/>
      </c>
      <c r="N185" s="130" t="str">
        <f>'графік із підвищеною %'!K68</f>
        <v/>
      </c>
      <c r="O185" s="130" t="str">
        <f>'графік із підвищеною %'!L68</f>
        <v/>
      </c>
      <c r="P185" s="132" t="str">
        <f>'графік із підвищеною %'!Q68</f>
        <v/>
      </c>
      <c r="Q185" s="61" t="str">
        <f t="shared" ca="1" si="2"/>
        <v xml:space="preserve"> </v>
      </c>
    </row>
    <row r="186" spans="1:17" x14ac:dyDescent="0.35">
      <c r="A186" s="57">
        <f>'графік із підвищеною %'!A69</f>
        <v>41</v>
      </c>
      <c r="B186" s="58">
        <f ca="1">'графік із підвищеною %'!C69</f>
        <v>45474</v>
      </c>
      <c r="C186" s="59">
        <f ca="1">'графік із підвищеною %'!D69</f>
        <v>30</v>
      </c>
      <c r="D186" s="60">
        <f>'графік із підвищеною %'!E69</f>
        <v>158333.46666666641</v>
      </c>
      <c r="E186" s="61">
        <f ca="1">'графік із підвищеною %'!H69</f>
        <v>12430.33</v>
      </c>
      <c r="F186" s="60">
        <f>'графік із підвищеною %'!F69</f>
        <v>8333.33</v>
      </c>
      <c r="G186" s="61">
        <f ca="1">'графік із підвищеною %'!G69</f>
        <v>4097</v>
      </c>
      <c r="H186" s="61" t="str">
        <f>'графік із підвищеною %'!M69</f>
        <v/>
      </c>
      <c r="I186" s="61" t="str">
        <f>'графік із підвищеною %'!N69</f>
        <v/>
      </c>
      <c r="J186" s="61" t="str">
        <f>'графік із підвищеною %'!O69</f>
        <v/>
      </c>
      <c r="K186" s="64"/>
      <c r="L186" s="130" t="str">
        <f>'графік із підвищеною %'!I69</f>
        <v/>
      </c>
      <c r="M186" s="130" t="str">
        <f>'графік із підвищеною %'!J69</f>
        <v/>
      </c>
      <c r="N186" s="130" t="str">
        <f>'графік із підвищеною %'!K69</f>
        <v/>
      </c>
      <c r="O186" s="130" t="str">
        <f>'графік із підвищеною %'!L69</f>
        <v/>
      </c>
      <c r="P186" s="132" t="str">
        <f>'графік із підвищеною %'!Q69</f>
        <v/>
      </c>
      <c r="Q186" s="61" t="str">
        <f t="shared" ca="1" si="2"/>
        <v xml:space="preserve"> </v>
      </c>
    </row>
    <row r="187" spans="1:17" x14ac:dyDescent="0.35">
      <c r="A187" s="57">
        <f>'графік із підвищеною %'!A70</f>
        <v>42</v>
      </c>
      <c r="B187" s="58">
        <f ca="1">'графік із підвищеною %'!C70</f>
        <v>45505</v>
      </c>
      <c r="C187" s="59">
        <f ca="1">'графік із підвищеною %'!D70</f>
        <v>31</v>
      </c>
      <c r="D187" s="60">
        <f>'графік із підвищеною %'!E70</f>
        <v>150000.13666666643</v>
      </c>
      <c r="E187" s="61">
        <f ca="1">'графік із підвищеною %'!H70</f>
        <v>12355.22</v>
      </c>
      <c r="F187" s="60">
        <f>'графік із підвищеною %'!F70</f>
        <v>8333.33</v>
      </c>
      <c r="G187" s="61">
        <f ca="1">'графік із підвищеною %'!G70</f>
        <v>4021.89</v>
      </c>
      <c r="H187" s="61" t="str">
        <f>'графік із підвищеною %'!M70</f>
        <v/>
      </c>
      <c r="I187" s="61" t="str">
        <f>'графік із підвищеною %'!N70</f>
        <v/>
      </c>
      <c r="J187" s="61" t="str">
        <f>'графік із підвищеною %'!O70</f>
        <v/>
      </c>
      <c r="K187" s="64"/>
      <c r="L187" s="130" t="str">
        <f>'графік із підвищеною %'!I70</f>
        <v/>
      </c>
      <c r="M187" s="130" t="str">
        <f>'графік із підвищеною %'!J70</f>
        <v/>
      </c>
      <c r="N187" s="130" t="str">
        <f>'графік із підвищеною %'!K70</f>
        <v/>
      </c>
      <c r="O187" s="130" t="str">
        <f>'графік із підвищеною %'!L70</f>
        <v/>
      </c>
      <c r="P187" s="132" t="str">
        <f>'графік із підвищеною %'!Q70</f>
        <v/>
      </c>
      <c r="Q187" s="61" t="str">
        <f t="shared" ca="1" si="2"/>
        <v xml:space="preserve"> </v>
      </c>
    </row>
    <row r="188" spans="1:17" x14ac:dyDescent="0.35">
      <c r="A188" s="57">
        <f>'графік із підвищеною %'!A71</f>
        <v>43</v>
      </c>
      <c r="B188" s="58">
        <f ca="1">'графік із підвищеною %'!C71</f>
        <v>45536</v>
      </c>
      <c r="C188" s="59">
        <f ca="1">'графік із підвищеною %'!D71</f>
        <v>31</v>
      </c>
      <c r="D188" s="60">
        <f>'графік із підвищеною %'!E71</f>
        <v>141666.80666666644</v>
      </c>
      <c r="E188" s="61">
        <f ca="1">'графік із підвищеною %'!H71</f>
        <v>12143.54</v>
      </c>
      <c r="F188" s="60">
        <f>'графік із підвищеною %'!F71</f>
        <v>8333.33</v>
      </c>
      <c r="G188" s="61">
        <f ca="1">'графік із підвищеною %'!G71</f>
        <v>3810.21</v>
      </c>
      <c r="H188" s="61" t="str">
        <f>'графік із підвищеною %'!M71</f>
        <v/>
      </c>
      <c r="I188" s="61" t="str">
        <f>'графік із підвищеною %'!N71</f>
        <v/>
      </c>
      <c r="J188" s="61" t="str">
        <f>'графік із підвищеною %'!O71</f>
        <v/>
      </c>
      <c r="K188" s="64"/>
      <c r="L188" s="130" t="str">
        <f>'графік із підвищеною %'!I71</f>
        <v/>
      </c>
      <c r="M188" s="130" t="str">
        <f>'графік із підвищеною %'!J71</f>
        <v/>
      </c>
      <c r="N188" s="130" t="str">
        <f>'графік із підвищеною %'!K71</f>
        <v/>
      </c>
      <c r="O188" s="130" t="str">
        <f>'графік із підвищеною %'!L71</f>
        <v/>
      </c>
      <c r="P188" s="132" t="str">
        <f>'графік із підвищеною %'!Q71</f>
        <v/>
      </c>
      <c r="Q188" s="61" t="str">
        <f t="shared" ca="1" si="2"/>
        <v xml:space="preserve"> </v>
      </c>
    </row>
    <row r="189" spans="1:17" x14ac:dyDescent="0.35">
      <c r="A189" s="57">
        <f>'графік із підвищеною %'!A72</f>
        <v>44</v>
      </c>
      <c r="B189" s="58">
        <f ca="1">'графік із підвищеною %'!C72</f>
        <v>45566</v>
      </c>
      <c r="C189" s="59">
        <f ca="1">'графік із підвищеною %'!D72</f>
        <v>30</v>
      </c>
      <c r="D189" s="60">
        <f>'графік із підвищеною %'!E72</f>
        <v>133333.47666666645</v>
      </c>
      <c r="E189" s="61">
        <f ca="1">'графік із підвищеною %'!H72</f>
        <v>11815.779999999999</v>
      </c>
      <c r="F189" s="60">
        <f>'графік із підвищеною %'!F72</f>
        <v>8333.33</v>
      </c>
      <c r="G189" s="61">
        <f ca="1">'графік із підвищеною %'!G72</f>
        <v>3482.45</v>
      </c>
      <c r="H189" s="61" t="str">
        <f>'графік із підвищеною %'!M72</f>
        <v/>
      </c>
      <c r="I189" s="61" t="str">
        <f>'графік із підвищеною %'!N72</f>
        <v/>
      </c>
      <c r="J189" s="61" t="str">
        <f>'графік із підвищеною %'!O72</f>
        <v/>
      </c>
      <c r="K189" s="64"/>
      <c r="L189" s="130" t="str">
        <f>'графік із підвищеною %'!I72</f>
        <v/>
      </c>
      <c r="M189" s="130" t="str">
        <f>'графік із підвищеною %'!J72</f>
        <v/>
      </c>
      <c r="N189" s="130" t="str">
        <f>'графік із підвищеною %'!K72</f>
        <v/>
      </c>
      <c r="O189" s="130" t="str">
        <f>'графік із підвищеною %'!L72</f>
        <v/>
      </c>
      <c r="P189" s="132" t="str">
        <f>'графік із підвищеною %'!Q72</f>
        <v/>
      </c>
      <c r="Q189" s="61" t="str">
        <f t="shared" ca="1" si="2"/>
        <v xml:space="preserve"> </v>
      </c>
    </row>
    <row r="190" spans="1:17" x14ac:dyDescent="0.35">
      <c r="A190" s="57">
        <f>'графік із підвищеною %'!A73</f>
        <v>45</v>
      </c>
      <c r="B190" s="58">
        <f ca="1">'графік із підвищеною %'!C73</f>
        <v>45597</v>
      </c>
      <c r="C190" s="59">
        <f ca="1">'графік із підвищеною %'!D73</f>
        <v>31</v>
      </c>
      <c r="D190" s="60">
        <f>'графік із підвищеною %'!E73</f>
        <v>125000.14666666645</v>
      </c>
      <c r="E190" s="61">
        <f ca="1">'графік із підвищеною %'!H73</f>
        <v>11720.18</v>
      </c>
      <c r="F190" s="60">
        <f>'графік із підвищеною %'!F73</f>
        <v>8333.33</v>
      </c>
      <c r="G190" s="61">
        <f ca="1">'графік із підвищеною %'!G73</f>
        <v>3386.85</v>
      </c>
      <c r="H190" s="61" t="str">
        <f>'графік із підвищеною %'!M73</f>
        <v/>
      </c>
      <c r="I190" s="61" t="str">
        <f>'графік із підвищеною %'!N73</f>
        <v/>
      </c>
      <c r="J190" s="61" t="str">
        <f>'графік із підвищеною %'!O73</f>
        <v/>
      </c>
      <c r="K190" s="64"/>
      <c r="L190" s="130" t="str">
        <f>'графік із підвищеною %'!I73</f>
        <v/>
      </c>
      <c r="M190" s="130" t="str">
        <f>'графік із підвищеною %'!J73</f>
        <v/>
      </c>
      <c r="N190" s="130" t="str">
        <f>'графік із підвищеною %'!K73</f>
        <v/>
      </c>
      <c r="O190" s="130" t="str">
        <f>'графік із підвищеною %'!L73</f>
        <v/>
      </c>
      <c r="P190" s="132" t="str">
        <f>'графік із підвищеною %'!Q73</f>
        <v/>
      </c>
      <c r="Q190" s="61" t="str">
        <f t="shared" ca="1" si="2"/>
        <v xml:space="preserve"> </v>
      </c>
    </row>
    <row r="191" spans="1:17" x14ac:dyDescent="0.35">
      <c r="A191" s="57">
        <f>'графік із підвищеною %'!A74</f>
        <v>46</v>
      </c>
      <c r="B191" s="58">
        <f ca="1">'графік із підвищеною %'!C74</f>
        <v>45627</v>
      </c>
      <c r="C191" s="59">
        <f ca="1">'графік із підвищеною %'!D74</f>
        <v>30</v>
      </c>
      <c r="D191" s="60">
        <f>'графік із підвищеною %'!E74</f>
        <v>116666.81666666645</v>
      </c>
      <c r="E191" s="61">
        <f ca="1">'графік із підвищеною %'!H74</f>
        <v>11406.08</v>
      </c>
      <c r="F191" s="60">
        <f>'графік із підвищеною %'!F74</f>
        <v>8333.33</v>
      </c>
      <c r="G191" s="61">
        <f ca="1">'графік із підвищеною %'!G74</f>
        <v>3072.75</v>
      </c>
      <c r="H191" s="61" t="str">
        <f>'графік із підвищеною %'!M74</f>
        <v/>
      </c>
      <c r="I191" s="61" t="str">
        <f>'графік із підвищеною %'!N74</f>
        <v/>
      </c>
      <c r="J191" s="61" t="str">
        <f>'графік із підвищеною %'!O74</f>
        <v/>
      </c>
      <c r="K191" s="64"/>
      <c r="L191" s="130" t="str">
        <f>'графік із підвищеною %'!I74</f>
        <v/>
      </c>
      <c r="M191" s="130" t="str">
        <f>'графік із підвищеною %'!J74</f>
        <v/>
      </c>
      <c r="N191" s="130" t="str">
        <f>'графік із підвищеною %'!K74</f>
        <v/>
      </c>
      <c r="O191" s="130" t="str">
        <f>'графік із підвищеною %'!L74</f>
        <v/>
      </c>
      <c r="P191" s="132" t="str">
        <f>'графік із підвищеною %'!Q74</f>
        <v/>
      </c>
      <c r="Q191" s="61" t="str">
        <f t="shared" ca="1" si="2"/>
        <v xml:space="preserve"> </v>
      </c>
    </row>
    <row r="192" spans="1:17" x14ac:dyDescent="0.35">
      <c r="A192" s="57">
        <f>'графік із підвищеною %'!A75</f>
        <v>47</v>
      </c>
      <c r="B192" s="58">
        <f ca="1">'графік із підвищеною %'!C75</f>
        <v>45658</v>
      </c>
      <c r="C192" s="59">
        <f ca="1">'графік із підвищеною %'!D75</f>
        <v>31</v>
      </c>
      <c r="D192" s="60">
        <f>'графік із підвищеною %'!E75</f>
        <v>108333.48666666645</v>
      </c>
      <c r="E192" s="61">
        <f ca="1">'графік із підвищеною %'!H75</f>
        <v>11296.83</v>
      </c>
      <c r="F192" s="60">
        <f>'графік із підвищеною %'!F75</f>
        <v>8333.33</v>
      </c>
      <c r="G192" s="61">
        <f ca="1">'графік із підвищеною %'!G75</f>
        <v>2963.5</v>
      </c>
      <c r="H192" s="61" t="str">
        <f>'графік із підвищеною %'!M75</f>
        <v/>
      </c>
      <c r="I192" s="61" t="str">
        <f>'графік із підвищеною %'!N75</f>
        <v/>
      </c>
      <c r="J192" s="61" t="str">
        <f>'графік із підвищеною %'!O75</f>
        <v/>
      </c>
      <c r="K192" s="64"/>
      <c r="L192" s="130" t="str">
        <f>'графік із підвищеною %'!I75</f>
        <v/>
      </c>
      <c r="M192" s="130" t="str">
        <f>'графік із підвищеною %'!J75</f>
        <v/>
      </c>
      <c r="N192" s="130" t="str">
        <f>'графік із підвищеною %'!K75</f>
        <v/>
      </c>
      <c r="O192" s="130" t="str">
        <f>'графік із підвищеною %'!L75</f>
        <v/>
      </c>
      <c r="P192" s="132" t="str">
        <f>'графік із підвищеною %'!Q75</f>
        <v/>
      </c>
      <c r="Q192" s="61" t="str">
        <f t="shared" ca="1" si="2"/>
        <v xml:space="preserve"> </v>
      </c>
    </row>
    <row r="193" spans="1:17" x14ac:dyDescent="0.35">
      <c r="A193" s="57">
        <f>'графік із підвищеною %'!A76</f>
        <v>48</v>
      </c>
      <c r="B193" s="58">
        <f ca="1">'графік із підвищеною %'!C76</f>
        <v>45689</v>
      </c>
      <c r="C193" s="59">
        <f ca="1">'графік із підвищеною %'!D76</f>
        <v>31</v>
      </c>
      <c r="D193" s="60">
        <f>'графік із підвищеною %'!E76</f>
        <v>100000.15666666644</v>
      </c>
      <c r="E193" s="61">
        <f ca="1">'графік із підвищеною %'!H76</f>
        <v>11092.69</v>
      </c>
      <c r="F193" s="60">
        <f>'графік із підвищеною %'!F76</f>
        <v>8333.33</v>
      </c>
      <c r="G193" s="61">
        <f ca="1">'графік із підвищеною %'!G76</f>
        <v>2759.36</v>
      </c>
      <c r="H193" s="61" t="str">
        <f>'графік із підвищеною %'!M76</f>
        <v/>
      </c>
      <c r="I193" s="61" t="str">
        <f>'графік із підвищеною %'!N76</f>
        <v/>
      </c>
      <c r="J193" s="61" t="str">
        <f>'графік із підвищеною %'!O76</f>
        <v/>
      </c>
      <c r="K193" s="64"/>
      <c r="L193" s="130" t="str">
        <f>'графік із підвищеною %'!I76</f>
        <v/>
      </c>
      <c r="M193" s="130" t="str">
        <f>'графік із підвищеною %'!J76</f>
        <v/>
      </c>
      <c r="N193" s="130" t="str">
        <f>'графік із підвищеною %'!K76</f>
        <v/>
      </c>
      <c r="O193" s="130" t="str">
        <f>'графік із підвищеною %'!L76</f>
        <v/>
      </c>
      <c r="P193" s="132" t="str">
        <f>'графік із підвищеною %'!Q76</f>
        <v/>
      </c>
      <c r="Q193" s="61" t="str">
        <f t="shared" ca="1" si="2"/>
        <v xml:space="preserve"> </v>
      </c>
    </row>
    <row r="194" spans="1:17" x14ac:dyDescent="0.35">
      <c r="A194" s="57">
        <f>'графік із підвищеною %'!A77</f>
        <v>49</v>
      </c>
      <c r="B194" s="58">
        <f ca="1">'графік із підвищеною %'!C77</f>
        <v>45717</v>
      </c>
      <c r="C194" s="59">
        <f ca="1">'графік із підвищеною %'!D77</f>
        <v>28</v>
      </c>
      <c r="D194" s="60">
        <f>'графік із підвищеною %'!E77</f>
        <v>91666.826666666442</v>
      </c>
      <c r="E194" s="61">
        <f ca="1">'графік із підвищеною %'!H77</f>
        <v>10633.94</v>
      </c>
      <c r="F194" s="60">
        <f>'графік із підвищеною %'!F77</f>
        <v>8333.33</v>
      </c>
      <c r="G194" s="61">
        <f ca="1">'графік із підвищеною %'!G77</f>
        <v>2300.61</v>
      </c>
      <c r="H194" s="61" t="str">
        <f>'графік із підвищеною %'!M77</f>
        <v/>
      </c>
      <c r="I194" s="61" t="str">
        <f>'графік із підвищеною %'!N77</f>
        <v/>
      </c>
      <c r="J194" s="61">
        <f>'графік із підвищеною %'!O77</f>
        <v>2181</v>
      </c>
      <c r="K194" s="64"/>
      <c r="L194" s="130" t="str">
        <f>'графік із підвищеною %'!I77</f>
        <v/>
      </c>
      <c r="M194" s="130" t="str">
        <f>'графік із підвищеною %'!J77</f>
        <v/>
      </c>
      <c r="N194" s="130" t="str">
        <f>'графік із підвищеною %'!K77</f>
        <v/>
      </c>
      <c r="O194" s="130" t="str">
        <f>'графік із підвищеною %'!L77</f>
        <v/>
      </c>
      <c r="P194" s="132" t="str">
        <f>'графік із підвищеною %'!Q77</f>
        <v/>
      </c>
      <c r="Q194" s="61" t="str">
        <f t="shared" ca="1" si="2"/>
        <v xml:space="preserve"> </v>
      </c>
    </row>
    <row r="195" spans="1:17" x14ac:dyDescent="0.35">
      <c r="A195" s="57">
        <f>'графік із підвищеною %'!A78</f>
        <v>50</v>
      </c>
      <c r="B195" s="58">
        <f ca="1">'графік із підвищеною %'!C78</f>
        <v>45748</v>
      </c>
      <c r="C195" s="59">
        <f ca="1">'графік із підвищеною %'!D78</f>
        <v>31</v>
      </c>
      <c r="D195" s="60">
        <f>'графік із підвищеною %'!E78</f>
        <v>83333.49666666644</v>
      </c>
      <c r="E195" s="61">
        <f ca="1">'графік із підвищеною %'!H78</f>
        <v>10668.17</v>
      </c>
      <c r="F195" s="60">
        <f>'графік із підвищеною %'!F78</f>
        <v>8333.33</v>
      </c>
      <c r="G195" s="61">
        <f ca="1">'графік із підвищеною %'!G78</f>
        <v>2334.84</v>
      </c>
      <c r="H195" s="61" t="str">
        <f>'графік із підвищеною %'!M78</f>
        <v/>
      </c>
      <c r="I195" s="61" t="str">
        <f>'графік із підвищеною %'!N78</f>
        <v/>
      </c>
      <c r="J195" s="61" t="str">
        <f>'графік із підвищеною %'!O78</f>
        <v/>
      </c>
      <c r="K195" s="64"/>
      <c r="L195" s="130" t="str">
        <f>'графік із підвищеною %'!I78</f>
        <v/>
      </c>
      <c r="M195" s="130" t="str">
        <f>'графік із підвищеною %'!J78</f>
        <v/>
      </c>
      <c r="N195" s="130" t="str">
        <f>'графік із підвищеною %'!K78</f>
        <v/>
      </c>
      <c r="O195" s="130" t="str">
        <f>'графік із підвищеною %'!L78</f>
        <v/>
      </c>
      <c r="P195" s="132" t="str">
        <f>'графік із підвищеною %'!Q78</f>
        <v/>
      </c>
      <c r="Q195" s="61" t="str">
        <f t="shared" ca="1" si="2"/>
        <v xml:space="preserve"> </v>
      </c>
    </row>
    <row r="196" spans="1:17" x14ac:dyDescent="0.35">
      <c r="A196" s="57">
        <f>'графік із підвищеною %'!A79</f>
        <v>51</v>
      </c>
      <c r="B196" s="58">
        <f ca="1">'графік із підвищеною %'!C79</f>
        <v>45778</v>
      </c>
      <c r="C196" s="59">
        <f ca="1">'графік із підвищеною %'!D79</f>
        <v>30</v>
      </c>
      <c r="D196" s="60">
        <f>'графік із підвищеною %'!E79</f>
        <v>75000.166666666439</v>
      </c>
      <c r="E196" s="61">
        <f ca="1">'графік із підвищеною %'!H79</f>
        <v>10387.44</v>
      </c>
      <c r="F196" s="60">
        <f>'графік із підвищеною %'!F79</f>
        <v>8333.33</v>
      </c>
      <c r="G196" s="61">
        <f ca="1">'графік із підвищеною %'!G79</f>
        <v>2054.11</v>
      </c>
      <c r="H196" s="61" t="str">
        <f>'графік із підвищеною %'!M79</f>
        <v/>
      </c>
      <c r="I196" s="61" t="str">
        <f>'графік із підвищеною %'!N79</f>
        <v/>
      </c>
      <c r="J196" s="61" t="str">
        <f>'графік із підвищеною %'!O79</f>
        <v/>
      </c>
      <c r="K196" s="64"/>
      <c r="L196" s="130" t="str">
        <f>'графік із підвищеною %'!I79</f>
        <v/>
      </c>
      <c r="M196" s="130" t="str">
        <f>'графік із підвищеною %'!J79</f>
        <v/>
      </c>
      <c r="N196" s="130" t="str">
        <f>'графік із підвищеною %'!K79</f>
        <v/>
      </c>
      <c r="O196" s="130" t="str">
        <f>'графік із підвищеною %'!L79</f>
        <v/>
      </c>
      <c r="P196" s="132" t="str">
        <f>'графік із підвищеною %'!Q79</f>
        <v/>
      </c>
      <c r="Q196" s="61" t="str">
        <f t="shared" ca="1" si="2"/>
        <v xml:space="preserve"> </v>
      </c>
    </row>
    <row r="197" spans="1:17" x14ac:dyDescent="0.35">
      <c r="A197" s="57">
        <f>'графік із підвищеною %'!A80</f>
        <v>52</v>
      </c>
      <c r="B197" s="58">
        <f ca="1">'графік із підвищеною %'!C80</f>
        <v>45809</v>
      </c>
      <c r="C197" s="59">
        <f ca="1">'графік із підвищеною %'!D80</f>
        <v>31</v>
      </c>
      <c r="D197" s="60">
        <f>'графік із підвищеною %'!E80</f>
        <v>66666.836666666437</v>
      </c>
      <c r="E197" s="61">
        <f ca="1">'графік із підвищеною %'!H80</f>
        <v>10243.66</v>
      </c>
      <c r="F197" s="60">
        <f>'графік із підвищеною %'!F80</f>
        <v>8333.33</v>
      </c>
      <c r="G197" s="61">
        <f ca="1">'графік із підвищеною %'!G80</f>
        <v>1910.33</v>
      </c>
      <c r="H197" s="61" t="str">
        <f>'графік із підвищеною %'!M80</f>
        <v/>
      </c>
      <c r="I197" s="61" t="str">
        <f>'графік із підвищеною %'!N80</f>
        <v/>
      </c>
      <c r="J197" s="61" t="str">
        <f>'графік із підвищеною %'!O80</f>
        <v/>
      </c>
      <c r="K197" s="64"/>
      <c r="L197" s="130" t="str">
        <f>'графік із підвищеною %'!I80</f>
        <v/>
      </c>
      <c r="M197" s="130" t="str">
        <f>'графік із підвищеною %'!J80</f>
        <v/>
      </c>
      <c r="N197" s="130" t="str">
        <f>'графік із підвищеною %'!K80</f>
        <v/>
      </c>
      <c r="O197" s="130" t="str">
        <f>'графік із підвищеною %'!L80</f>
        <v/>
      </c>
      <c r="P197" s="132" t="str">
        <f>'графік із підвищеною %'!Q80</f>
        <v/>
      </c>
      <c r="Q197" s="61" t="str">
        <f t="shared" ca="1" si="2"/>
        <v xml:space="preserve"> </v>
      </c>
    </row>
    <row r="198" spans="1:17" x14ac:dyDescent="0.35">
      <c r="A198" s="57">
        <f>'графік із підвищеною %'!A81</f>
        <v>53</v>
      </c>
      <c r="B198" s="58">
        <f ca="1">'графік із підвищеною %'!C81</f>
        <v>45839</v>
      </c>
      <c r="C198" s="59">
        <f ca="1">'графік із підвищеною %'!D81</f>
        <v>30</v>
      </c>
      <c r="D198" s="60">
        <f>'графік із підвищеною %'!E81</f>
        <v>58333.506666666435</v>
      </c>
      <c r="E198" s="61">
        <f ca="1">'графік із підвищеною %'!H81</f>
        <v>9976.619999999999</v>
      </c>
      <c r="F198" s="60">
        <f>'графік із підвищеною %'!F81</f>
        <v>8333.33</v>
      </c>
      <c r="G198" s="61">
        <f ca="1">'графік із підвищеною %'!G81</f>
        <v>1643.29</v>
      </c>
      <c r="H198" s="61" t="str">
        <f>'графік із підвищеною %'!M81</f>
        <v/>
      </c>
      <c r="I198" s="61" t="str">
        <f>'графік із підвищеною %'!N81</f>
        <v/>
      </c>
      <c r="J198" s="61" t="str">
        <f>'графік із підвищеною %'!O81</f>
        <v/>
      </c>
      <c r="K198" s="64"/>
      <c r="L198" s="130" t="str">
        <f>'графік із підвищеною %'!I81</f>
        <v/>
      </c>
      <c r="M198" s="130" t="str">
        <f>'графік із підвищеною %'!J81</f>
        <v/>
      </c>
      <c r="N198" s="130" t="str">
        <f>'графік із підвищеною %'!K81</f>
        <v/>
      </c>
      <c r="O198" s="130" t="str">
        <f>'графік із підвищеною %'!L81</f>
        <v/>
      </c>
      <c r="P198" s="132" t="str">
        <f>'графік із підвищеною %'!Q81</f>
        <v/>
      </c>
      <c r="Q198" s="61" t="str">
        <f t="shared" ca="1" si="2"/>
        <v xml:space="preserve"> </v>
      </c>
    </row>
    <row r="199" spans="1:17" x14ac:dyDescent="0.35">
      <c r="A199" s="57">
        <f>'графік із підвищеною %'!A82</f>
        <v>54</v>
      </c>
      <c r="B199" s="58">
        <f ca="1">'графік із підвищеною %'!C82</f>
        <v>45870</v>
      </c>
      <c r="C199" s="59">
        <f ca="1">'графік із підвищеною %'!D82</f>
        <v>31</v>
      </c>
      <c r="D199" s="60">
        <f>'графік із підвищеною %'!E82</f>
        <v>50000.176666666433</v>
      </c>
      <c r="E199" s="61">
        <f ca="1">'графік із підвищеною %'!H82</f>
        <v>9819.14</v>
      </c>
      <c r="F199" s="60">
        <f>'графік із підвищеною %'!F82</f>
        <v>8333.33</v>
      </c>
      <c r="G199" s="61">
        <f ca="1">'графік із підвищеною %'!G82</f>
        <v>1485.81</v>
      </c>
      <c r="H199" s="61" t="str">
        <f>'графік із підвищеною %'!M82</f>
        <v/>
      </c>
      <c r="I199" s="61" t="str">
        <f>'графік із підвищеною %'!N82</f>
        <v/>
      </c>
      <c r="J199" s="61" t="str">
        <f>'графік із підвищеною %'!O82</f>
        <v/>
      </c>
      <c r="K199" s="64"/>
      <c r="L199" s="130" t="str">
        <f>'графік із підвищеною %'!I82</f>
        <v/>
      </c>
      <c r="M199" s="130" t="str">
        <f>'графік із підвищеною %'!J82</f>
        <v/>
      </c>
      <c r="N199" s="130" t="str">
        <f>'графік із підвищеною %'!K82</f>
        <v/>
      </c>
      <c r="O199" s="130" t="str">
        <f>'графік із підвищеною %'!L82</f>
        <v/>
      </c>
      <c r="P199" s="132" t="str">
        <f>'графік із підвищеною %'!Q82</f>
        <v/>
      </c>
      <c r="Q199" s="61" t="str">
        <f t="shared" ca="1" si="2"/>
        <v xml:space="preserve"> </v>
      </c>
    </row>
    <row r="200" spans="1:17" x14ac:dyDescent="0.35">
      <c r="A200" s="57">
        <f>'графік із підвищеною %'!A83</f>
        <v>55</v>
      </c>
      <c r="B200" s="58">
        <f ca="1">'графік із підвищеною %'!C83</f>
        <v>45901</v>
      </c>
      <c r="C200" s="59">
        <f ca="1">'графік із підвищеною %'!D83</f>
        <v>31</v>
      </c>
      <c r="D200" s="60">
        <f>'графік із підвищеною %'!E83</f>
        <v>41666.846666666432</v>
      </c>
      <c r="E200" s="61">
        <f ca="1">'графік із підвищеною %'!H83</f>
        <v>9606.8799999999992</v>
      </c>
      <c r="F200" s="60">
        <f>'графік із підвищеною %'!F83</f>
        <v>8333.33</v>
      </c>
      <c r="G200" s="61">
        <f ca="1">'графік із підвищеною %'!G83</f>
        <v>1273.55</v>
      </c>
      <c r="H200" s="61" t="str">
        <f>'графік із підвищеною %'!M83</f>
        <v/>
      </c>
      <c r="I200" s="61" t="str">
        <f>'графік із підвищеною %'!N83</f>
        <v/>
      </c>
      <c r="J200" s="61" t="str">
        <f>'графік із підвищеною %'!O83</f>
        <v/>
      </c>
      <c r="K200" s="64"/>
      <c r="L200" s="130" t="str">
        <f>'графік із підвищеною %'!I83</f>
        <v/>
      </c>
      <c r="M200" s="130" t="str">
        <f>'графік із підвищеною %'!J83</f>
        <v/>
      </c>
      <c r="N200" s="130" t="str">
        <f>'графік із підвищеною %'!K83</f>
        <v/>
      </c>
      <c r="O200" s="130" t="str">
        <f>'графік із підвищеною %'!L83</f>
        <v/>
      </c>
      <c r="P200" s="132" t="str">
        <f>'графік із підвищеною %'!Q83</f>
        <v/>
      </c>
      <c r="Q200" s="61" t="str">
        <f t="shared" ca="1" si="2"/>
        <v xml:space="preserve"> </v>
      </c>
    </row>
    <row r="201" spans="1:17" x14ac:dyDescent="0.35">
      <c r="A201" s="57">
        <f>'графік із підвищеною %'!A84</f>
        <v>56</v>
      </c>
      <c r="B201" s="58">
        <f ca="1">'графік із підвищеною %'!C84</f>
        <v>45931</v>
      </c>
      <c r="C201" s="59">
        <f ca="1">'графік із підвищеною %'!D84</f>
        <v>30</v>
      </c>
      <c r="D201" s="60">
        <f>'графік із підвищеною %'!E84</f>
        <v>33333.51666666643</v>
      </c>
      <c r="E201" s="61">
        <f ca="1">'графік із підвищеною %'!H84</f>
        <v>9360.39</v>
      </c>
      <c r="F201" s="60">
        <f>'графік із підвищеною %'!F84</f>
        <v>8333.33</v>
      </c>
      <c r="G201" s="61">
        <f ca="1">'графік із підвищеною %'!G84</f>
        <v>1027.06</v>
      </c>
      <c r="H201" s="61" t="str">
        <f>'графік із підвищеною %'!M84</f>
        <v/>
      </c>
      <c r="I201" s="61" t="str">
        <f>'графік із підвищеною %'!N84</f>
        <v/>
      </c>
      <c r="J201" s="61" t="str">
        <f>'графік із підвищеною %'!O84</f>
        <v/>
      </c>
      <c r="K201" s="64"/>
      <c r="L201" s="130" t="str">
        <f>'графік із підвищеною %'!I84</f>
        <v/>
      </c>
      <c r="M201" s="130" t="str">
        <f>'графік із підвищеною %'!J84</f>
        <v/>
      </c>
      <c r="N201" s="130" t="str">
        <f>'графік із підвищеною %'!K84</f>
        <v/>
      </c>
      <c r="O201" s="130" t="str">
        <f>'графік із підвищеною %'!L84</f>
        <v/>
      </c>
      <c r="P201" s="132" t="str">
        <f>'графік із підвищеною %'!Q84</f>
        <v/>
      </c>
      <c r="Q201" s="61" t="str">
        <f t="shared" ca="1" si="2"/>
        <v xml:space="preserve"> </v>
      </c>
    </row>
    <row r="202" spans="1:17" x14ac:dyDescent="0.35">
      <c r="A202" s="57">
        <f>'графік із підвищеною %'!A85</f>
        <v>57</v>
      </c>
      <c r="B202" s="58">
        <f ca="1">'графік із підвищеною %'!C85</f>
        <v>45962</v>
      </c>
      <c r="C202" s="59">
        <f ca="1">'графік із підвищеною %'!D85</f>
        <v>31</v>
      </c>
      <c r="D202" s="60">
        <f>'графік із підвищеною %'!E85</f>
        <v>25000.186666666428</v>
      </c>
      <c r="E202" s="61">
        <f ca="1">'графік із підвищеною %'!H85</f>
        <v>9182.369999999999</v>
      </c>
      <c r="F202" s="60">
        <f>'графік із підвищеною %'!F85</f>
        <v>8333.33</v>
      </c>
      <c r="G202" s="61">
        <f ca="1">'графік із підвищеною %'!G85</f>
        <v>849.04</v>
      </c>
      <c r="H202" s="61" t="str">
        <f>'графік із підвищеною %'!M85</f>
        <v/>
      </c>
      <c r="I202" s="61" t="str">
        <f>'графік із підвищеною %'!N85</f>
        <v/>
      </c>
      <c r="J202" s="61" t="str">
        <f>'графік із підвищеною %'!O85</f>
        <v/>
      </c>
      <c r="K202" s="64"/>
      <c r="L202" s="130" t="str">
        <f>'графік із підвищеною %'!I85</f>
        <v/>
      </c>
      <c r="M202" s="130" t="str">
        <f>'графік із підвищеною %'!J85</f>
        <v/>
      </c>
      <c r="N202" s="130" t="str">
        <f>'графік із підвищеною %'!K85</f>
        <v/>
      </c>
      <c r="O202" s="130" t="str">
        <f>'графік із підвищеною %'!L85</f>
        <v/>
      </c>
      <c r="P202" s="132" t="str">
        <f>'графік із підвищеною %'!Q85</f>
        <v/>
      </c>
      <c r="Q202" s="61" t="str">
        <f t="shared" ca="1" si="2"/>
        <v xml:space="preserve"> </v>
      </c>
    </row>
    <row r="203" spans="1:17" x14ac:dyDescent="0.35">
      <c r="A203" s="57">
        <f>'графік із підвищеною %'!A86</f>
        <v>58</v>
      </c>
      <c r="B203" s="58">
        <f ca="1">'графік із підвищеною %'!C86</f>
        <v>45992</v>
      </c>
      <c r="C203" s="59">
        <f ca="1">'графік із підвищеною %'!D86</f>
        <v>30</v>
      </c>
      <c r="D203" s="60">
        <f>'графік із підвищеною %'!E86</f>
        <v>16666.856666666426</v>
      </c>
      <c r="E203" s="61">
        <f ca="1">'графік із підвищеною %'!H86</f>
        <v>8949.57</v>
      </c>
      <c r="F203" s="60">
        <f>'графік із підвищеною %'!F86</f>
        <v>8333.33</v>
      </c>
      <c r="G203" s="61">
        <f ca="1">'графік із підвищеною %'!G86</f>
        <v>616.24</v>
      </c>
      <c r="H203" s="61" t="str">
        <f>'графік із підвищеною %'!M86</f>
        <v/>
      </c>
      <c r="I203" s="61" t="str">
        <f>'графік із підвищеною %'!N86</f>
        <v/>
      </c>
      <c r="J203" s="61" t="str">
        <f>'графік із підвищеною %'!O86</f>
        <v/>
      </c>
      <c r="K203" s="64"/>
      <c r="L203" s="130" t="str">
        <f>'графік із підвищеною %'!I86</f>
        <v/>
      </c>
      <c r="M203" s="130" t="str">
        <f>'графік із підвищеною %'!J86</f>
        <v/>
      </c>
      <c r="N203" s="130" t="str">
        <f>'графік із підвищеною %'!K86</f>
        <v/>
      </c>
      <c r="O203" s="130" t="str">
        <f>'графік із підвищеною %'!L86</f>
        <v/>
      </c>
      <c r="P203" s="132" t="str">
        <f>'графік із підвищеною %'!Q86</f>
        <v/>
      </c>
      <c r="Q203" s="61" t="str">
        <f t="shared" ca="1" si="2"/>
        <v xml:space="preserve"> </v>
      </c>
    </row>
    <row r="204" spans="1:17" x14ac:dyDescent="0.35">
      <c r="A204" s="57">
        <f>'графік із підвищеною %'!A87</f>
        <v>59</v>
      </c>
      <c r="B204" s="58">
        <f ca="1">'графік із підвищеною %'!C87</f>
        <v>46023</v>
      </c>
      <c r="C204" s="59">
        <f ca="1">'графік із підвищеною %'!D87</f>
        <v>31</v>
      </c>
      <c r="D204" s="60">
        <f>'графік із підвищеною %'!E87</f>
        <v>8333.5266666664265</v>
      </c>
      <c r="E204" s="61">
        <f ca="1">'графік із підвищеною %'!H87</f>
        <v>8757.85</v>
      </c>
      <c r="F204" s="60">
        <f>'графік із підвищеною %'!F87</f>
        <v>8333.33</v>
      </c>
      <c r="G204" s="61">
        <f ca="1">'графік із підвищеною %'!G87</f>
        <v>424.52</v>
      </c>
      <c r="H204" s="61" t="str">
        <f>'графік із підвищеною %'!M87</f>
        <v/>
      </c>
      <c r="I204" s="61" t="str">
        <f>'графік із підвищеною %'!N87</f>
        <v/>
      </c>
      <c r="J204" s="61" t="str">
        <f>'графік із підвищеною %'!O87</f>
        <v/>
      </c>
      <c r="K204" s="64"/>
      <c r="L204" s="130" t="str">
        <f>'графік із підвищеною %'!I87</f>
        <v/>
      </c>
      <c r="M204" s="130" t="str">
        <f>'графік із підвищеною %'!J87</f>
        <v/>
      </c>
      <c r="N204" s="130" t="str">
        <f>'графік із підвищеною %'!K87</f>
        <v/>
      </c>
      <c r="O204" s="130" t="str">
        <f>'графік із підвищеною %'!L87</f>
        <v/>
      </c>
      <c r="P204" s="132" t="str">
        <f>'графік із підвищеною %'!Q87</f>
        <v/>
      </c>
      <c r="Q204" s="61" t="str">
        <f t="shared" ca="1" si="2"/>
        <v xml:space="preserve"> </v>
      </c>
    </row>
    <row r="205" spans="1:17" x14ac:dyDescent="0.35">
      <c r="A205" s="57">
        <f>'графік із підвищеною %'!A88</f>
        <v>60</v>
      </c>
      <c r="B205" s="58">
        <f ca="1">'графік із підвищеною %'!C88</f>
        <v>46053</v>
      </c>
      <c r="C205" s="59">
        <f ca="1">'графік із підвищеною %'!D88</f>
        <v>30</v>
      </c>
      <c r="D205" s="60">
        <f>'графік із підвищеною %'!E88</f>
        <v>-3.333333601403865E-3</v>
      </c>
      <c r="E205" s="61">
        <f ca="1">'графік із підвищеною %'!H88</f>
        <v>8538.950000000028</v>
      </c>
      <c r="F205" s="60">
        <f>'графік із підвищеною %'!F88</f>
        <v>8333.5300000000279</v>
      </c>
      <c r="G205" s="61">
        <f ca="1">'графік із підвищеною %'!G88</f>
        <v>205.42</v>
      </c>
      <c r="H205" s="61" t="str">
        <f>'графік із підвищеною %'!M88</f>
        <v/>
      </c>
      <c r="I205" s="61" t="str">
        <f>'графік із підвищеною %'!N88</f>
        <v/>
      </c>
      <c r="J205" s="61" t="str">
        <f>'графік із підвищеною %'!O88</f>
        <v/>
      </c>
      <c r="K205" s="64"/>
      <c r="L205" s="130" t="str">
        <f>'графік із підвищеною %'!I88</f>
        <v/>
      </c>
      <c r="M205" s="130" t="str">
        <f>'графік із підвищеною %'!J88</f>
        <v/>
      </c>
      <c r="N205" s="130" t="str">
        <f>'графік із підвищеною %'!K88</f>
        <v/>
      </c>
      <c r="O205" s="130" t="str">
        <f>'графік із підвищеною %'!L88</f>
        <v/>
      </c>
      <c r="P205" s="132" t="str">
        <f>'графік із підвищеною %'!Q88</f>
        <v/>
      </c>
      <c r="Q205" s="61" t="str">
        <f t="shared" ca="1" si="2"/>
        <v xml:space="preserve"> </v>
      </c>
    </row>
    <row r="206" spans="1:17" x14ac:dyDescent="0.35">
      <c r="A206" s="57" t="str">
        <f>'графік із підвищеною %'!A89</f>
        <v/>
      </c>
      <c r="B206" s="58" t="str">
        <f ca="1">'графік із підвищеною %'!C89</f>
        <v xml:space="preserve"> </v>
      </c>
      <c r="C206" s="59" t="str">
        <f>'графік із підвищеною %'!D89</f>
        <v/>
      </c>
      <c r="D206" s="60" t="str">
        <f>'графік із підвищеною %'!E89</f>
        <v/>
      </c>
      <c r="E206" s="61">
        <f ca="1">'графік із підвищеною %'!H89</f>
        <v>844642.19333333336</v>
      </c>
      <c r="F206" s="60">
        <f>'графік із підвищеною %'!F89</f>
        <v>500000</v>
      </c>
      <c r="G206" s="61">
        <f ca="1">'графік із підвищеною %'!G89</f>
        <v>344642.18999999994</v>
      </c>
      <c r="H206" s="61">
        <f>'графік із підвищеною %'!M89</f>
        <v>5000</v>
      </c>
      <c r="I206" s="61">
        <f>'графік із підвищеною %'!N89</f>
        <v>0</v>
      </c>
      <c r="J206" s="61">
        <f>'графік із підвищеною %'!O89</f>
        <v>10905</v>
      </c>
      <c r="K206" s="64"/>
      <c r="L206" s="130">
        <f>'графік із підвищеною %'!I89</f>
        <v>0</v>
      </c>
      <c r="M206" s="130">
        <f>'графік із підвищеною %'!J89</f>
        <v>0</v>
      </c>
      <c r="N206" s="130">
        <f>'графік із підвищеною %'!K89</f>
        <v>29950</v>
      </c>
      <c r="O206" s="130">
        <f>'графік із підвищеною %'!L89</f>
        <v>0</v>
      </c>
      <c r="P206" s="132">
        <f ca="1">'графік із підвищеною %'!Q89</f>
        <v>0.35644267201423652</v>
      </c>
      <c r="Q206" s="61">
        <f ca="1">IF(B205=$E$125,E206+$H$145+$K$145+$I$145+$Q$125+$L$145+$M$145+$N$145+$O$145," ")</f>
        <v>891773.19333333336</v>
      </c>
    </row>
    <row r="207" spans="1:17" x14ac:dyDescent="0.35">
      <c r="A207" s="57" t="str">
        <f>'графік із підвищеною %'!A90</f>
        <v/>
      </c>
      <c r="B207" s="58" t="str">
        <f ca="1">'графік із підвищеною %'!C90</f>
        <v xml:space="preserve"> </v>
      </c>
      <c r="C207" s="59" t="str">
        <f>'графік із підвищеною %'!D90</f>
        <v/>
      </c>
      <c r="D207" s="60" t="str">
        <f>'графік із підвищеною %'!E90</f>
        <v/>
      </c>
      <c r="E207" s="61" t="str">
        <f>'графік із підвищеною %'!H90</f>
        <v/>
      </c>
      <c r="F207" s="60" t="str">
        <f>'графік із підвищеною %'!F90</f>
        <v/>
      </c>
      <c r="G207" s="61" t="str">
        <f>'графік із підвищеною %'!G90</f>
        <v/>
      </c>
      <c r="H207" s="64">
        <f>графік!M207</f>
        <v>0</v>
      </c>
      <c r="I207" s="64"/>
      <c r="J207" s="64"/>
      <c r="K207" s="64"/>
      <c r="L207" s="64"/>
      <c r="M207" s="64"/>
      <c r="N207" s="64"/>
      <c r="O207" s="64"/>
      <c r="P207" s="132" t="str">
        <f>'графік із підвищеною %'!Q90</f>
        <v/>
      </c>
      <c r="Q207" s="61" t="str">
        <f t="shared" ref="Q207:Q230" ca="1" si="3">IF(B206=$E$9,E207+$H$145+K170," ")</f>
        <v xml:space="preserve"> </v>
      </c>
    </row>
    <row r="208" spans="1:17" x14ac:dyDescent="0.35">
      <c r="A208" s="57" t="str">
        <f>'графік із підвищеною %'!A91</f>
        <v/>
      </c>
      <c r="B208" s="58" t="str">
        <f ca="1">'графік із підвищеною %'!C91</f>
        <v xml:space="preserve"> </v>
      </c>
      <c r="C208" s="59" t="str">
        <f>'графік із підвищеною %'!D91</f>
        <v/>
      </c>
      <c r="D208" s="60" t="str">
        <f>'графік із підвищеною %'!E91</f>
        <v/>
      </c>
      <c r="E208" s="61" t="str">
        <f>'графік із підвищеною %'!H91</f>
        <v/>
      </c>
      <c r="F208" s="60" t="str">
        <f>'графік із підвищеною %'!F91</f>
        <v/>
      </c>
      <c r="G208" s="61" t="str">
        <f>'графік із підвищеною %'!G91</f>
        <v/>
      </c>
      <c r="H208" s="64">
        <f>графік!M208</f>
        <v>0</v>
      </c>
      <c r="I208" s="64"/>
      <c r="J208" s="64"/>
      <c r="K208" s="64"/>
      <c r="L208" s="64"/>
      <c r="M208" s="64"/>
      <c r="N208" s="64"/>
      <c r="O208" s="64"/>
      <c r="P208" s="132" t="str">
        <f>'графік із підвищеною %'!Q91</f>
        <v/>
      </c>
      <c r="Q208" s="61" t="str">
        <f t="shared" ca="1" si="3"/>
        <v xml:space="preserve"> </v>
      </c>
    </row>
    <row r="209" spans="1:17" x14ac:dyDescent="0.35">
      <c r="A209" s="57" t="str">
        <f>'графік із підвищеною %'!A92</f>
        <v/>
      </c>
      <c r="B209" s="58" t="str">
        <f ca="1">'графік із підвищеною %'!C92</f>
        <v xml:space="preserve"> </v>
      </c>
      <c r="C209" s="59" t="str">
        <f>'графік із підвищеною %'!D92</f>
        <v/>
      </c>
      <c r="D209" s="60" t="str">
        <f>'графік із підвищеною %'!E92</f>
        <v/>
      </c>
      <c r="E209" s="61" t="str">
        <f>'графік із підвищеною %'!H92</f>
        <v/>
      </c>
      <c r="F209" s="60" t="str">
        <f>'графік із підвищеною %'!F92</f>
        <v/>
      </c>
      <c r="G209" s="61" t="str">
        <f>'графік із підвищеною %'!G92</f>
        <v/>
      </c>
      <c r="H209" s="64">
        <f>графік!M209</f>
        <v>0</v>
      </c>
      <c r="I209" s="64"/>
      <c r="J209" s="64"/>
      <c r="K209" s="64"/>
      <c r="L209" s="64"/>
      <c r="M209" s="64"/>
      <c r="N209" s="64"/>
      <c r="O209" s="64"/>
      <c r="P209" s="132" t="str">
        <f>'графік із підвищеною %'!Q92</f>
        <v/>
      </c>
      <c r="Q209" s="61" t="str">
        <f t="shared" ca="1" si="3"/>
        <v xml:space="preserve"> </v>
      </c>
    </row>
    <row r="210" spans="1:17" x14ac:dyDescent="0.35">
      <c r="A210" s="57" t="str">
        <f>'графік із підвищеною %'!A93</f>
        <v/>
      </c>
      <c r="B210" s="58" t="str">
        <f ca="1">'графік із підвищеною %'!C93</f>
        <v xml:space="preserve"> </v>
      </c>
      <c r="C210" s="59" t="str">
        <f>'графік із підвищеною %'!D93</f>
        <v/>
      </c>
      <c r="D210" s="60" t="str">
        <f>'графік із підвищеною %'!E93</f>
        <v/>
      </c>
      <c r="E210" s="61" t="str">
        <f>'графік із підвищеною %'!H93</f>
        <v/>
      </c>
      <c r="F210" s="60" t="str">
        <f>'графік із підвищеною %'!F93</f>
        <v/>
      </c>
      <c r="G210" s="61" t="str">
        <f>'графік із підвищеною %'!G93</f>
        <v/>
      </c>
      <c r="H210" s="64">
        <f>графік!M210</f>
        <v>0</v>
      </c>
      <c r="I210" s="64"/>
      <c r="J210" s="64"/>
      <c r="K210" s="64"/>
      <c r="L210" s="64"/>
      <c r="M210" s="64"/>
      <c r="N210" s="64"/>
      <c r="O210" s="64"/>
      <c r="P210" s="132" t="str">
        <f>'графік із підвищеною %'!Q93</f>
        <v/>
      </c>
      <c r="Q210" s="61" t="str">
        <f t="shared" ca="1" si="3"/>
        <v xml:space="preserve"> </v>
      </c>
    </row>
    <row r="211" spans="1:17" x14ac:dyDescent="0.35">
      <c r="A211" s="57" t="str">
        <f>'графік із підвищеною %'!A94</f>
        <v/>
      </c>
      <c r="B211" s="58" t="str">
        <f ca="1">'графік із підвищеною %'!C94</f>
        <v xml:space="preserve"> </v>
      </c>
      <c r="C211" s="59" t="str">
        <f>'графік із підвищеною %'!D94</f>
        <v/>
      </c>
      <c r="D211" s="60" t="str">
        <f>'графік із підвищеною %'!E94</f>
        <v/>
      </c>
      <c r="E211" s="61" t="str">
        <f>'графік із підвищеною %'!H94</f>
        <v/>
      </c>
      <c r="F211" s="60" t="str">
        <f>'графік із підвищеною %'!F94</f>
        <v/>
      </c>
      <c r="G211" s="61" t="str">
        <f>'графік із підвищеною %'!G94</f>
        <v/>
      </c>
      <c r="H211" s="64">
        <f>графік!M211</f>
        <v>0</v>
      </c>
      <c r="I211" s="64"/>
      <c r="J211" s="64"/>
      <c r="K211" s="64"/>
      <c r="L211" s="64"/>
      <c r="M211" s="64"/>
      <c r="N211" s="64"/>
      <c r="O211" s="64"/>
      <c r="P211" s="132" t="str">
        <f>'графік із підвищеною %'!Q94</f>
        <v/>
      </c>
      <c r="Q211" s="61" t="str">
        <f t="shared" ca="1" si="3"/>
        <v xml:space="preserve"> </v>
      </c>
    </row>
    <row r="212" spans="1:17" x14ac:dyDescent="0.35">
      <c r="A212" s="57" t="str">
        <f>'графік із підвищеною %'!A95</f>
        <v/>
      </c>
      <c r="B212" s="58" t="str">
        <f ca="1">'графік із підвищеною %'!C95</f>
        <v xml:space="preserve"> </v>
      </c>
      <c r="C212" s="59" t="str">
        <f>'графік із підвищеною %'!D95</f>
        <v/>
      </c>
      <c r="D212" s="60" t="str">
        <f>'графік із підвищеною %'!E95</f>
        <v/>
      </c>
      <c r="E212" s="61" t="str">
        <f>'графік із підвищеною %'!H95</f>
        <v/>
      </c>
      <c r="F212" s="60" t="str">
        <f>'графік із підвищеною %'!F95</f>
        <v/>
      </c>
      <c r="G212" s="61" t="str">
        <f>'графік із підвищеною %'!G95</f>
        <v/>
      </c>
      <c r="H212" s="64">
        <f>графік!M212</f>
        <v>0</v>
      </c>
      <c r="I212" s="64"/>
      <c r="J212" s="64"/>
      <c r="K212" s="64"/>
      <c r="L212" s="64"/>
      <c r="M212" s="64"/>
      <c r="N212" s="64"/>
      <c r="O212" s="64"/>
      <c r="P212" s="132" t="str">
        <f>'графік із підвищеною %'!Q95</f>
        <v/>
      </c>
      <c r="Q212" s="61" t="str">
        <f t="shared" ca="1" si="3"/>
        <v xml:space="preserve"> </v>
      </c>
    </row>
    <row r="213" spans="1:17" x14ac:dyDescent="0.35">
      <c r="A213" s="57" t="str">
        <f>'графік із підвищеною %'!A96</f>
        <v/>
      </c>
      <c r="B213" s="58" t="str">
        <f ca="1">'графік із підвищеною %'!C96</f>
        <v xml:space="preserve"> </v>
      </c>
      <c r="C213" s="59" t="str">
        <f>'графік із підвищеною %'!D96</f>
        <v/>
      </c>
      <c r="D213" s="60" t="str">
        <f>'графік із підвищеною %'!E96</f>
        <v/>
      </c>
      <c r="E213" s="61" t="str">
        <f>'графік із підвищеною %'!H96</f>
        <v/>
      </c>
      <c r="F213" s="60" t="str">
        <f>'графік із підвищеною %'!F96</f>
        <v/>
      </c>
      <c r="G213" s="61" t="str">
        <f>'графік із підвищеною %'!G96</f>
        <v/>
      </c>
      <c r="H213" s="64">
        <f>графік!M213</f>
        <v>0</v>
      </c>
      <c r="I213" s="64"/>
      <c r="J213" s="64"/>
      <c r="K213" s="64"/>
      <c r="L213" s="64"/>
      <c r="M213" s="64"/>
      <c r="N213" s="64"/>
      <c r="O213" s="64"/>
      <c r="P213" s="132" t="str">
        <f>'графік із підвищеною %'!Q96</f>
        <v/>
      </c>
      <c r="Q213" s="61" t="str">
        <f t="shared" ca="1" si="3"/>
        <v xml:space="preserve"> </v>
      </c>
    </row>
    <row r="214" spans="1:17" x14ac:dyDescent="0.35">
      <c r="A214" s="57" t="str">
        <f>'графік із підвищеною %'!A97</f>
        <v/>
      </c>
      <c r="B214" s="58" t="str">
        <f ca="1">'графік із підвищеною %'!C97</f>
        <v xml:space="preserve"> </v>
      </c>
      <c r="C214" s="59" t="str">
        <f>'графік із підвищеною %'!D97</f>
        <v/>
      </c>
      <c r="D214" s="60" t="str">
        <f>'графік із підвищеною %'!E97</f>
        <v/>
      </c>
      <c r="E214" s="61" t="str">
        <f>'графік із підвищеною %'!H97</f>
        <v/>
      </c>
      <c r="F214" s="60" t="str">
        <f>'графік із підвищеною %'!F97</f>
        <v/>
      </c>
      <c r="G214" s="61" t="str">
        <f>'графік із підвищеною %'!G97</f>
        <v/>
      </c>
      <c r="H214" s="64">
        <f>графік!M214</f>
        <v>0</v>
      </c>
      <c r="I214" s="64"/>
      <c r="J214" s="64"/>
      <c r="K214" s="64"/>
      <c r="L214" s="64"/>
      <c r="M214" s="64"/>
      <c r="N214" s="64"/>
      <c r="O214" s="64"/>
      <c r="P214" s="132" t="str">
        <f>'графік із підвищеною %'!Q97</f>
        <v/>
      </c>
      <c r="Q214" s="61" t="str">
        <f t="shared" ca="1" si="3"/>
        <v xml:space="preserve"> </v>
      </c>
    </row>
    <row r="215" spans="1:17" x14ac:dyDescent="0.35">
      <c r="A215" s="57" t="str">
        <f>'графік із підвищеною %'!A98</f>
        <v/>
      </c>
      <c r="B215" s="58" t="str">
        <f ca="1">'графік із підвищеною %'!C98</f>
        <v xml:space="preserve"> </v>
      </c>
      <c r="C215" s="59" t="str">
        <f>'графік із підвищеною %'!D98</f>
        <v/>
      </c>
      <c r="D215" s="60" t="str">
        <f>'графік із підвищеною %'!E98</f>
        <v/>
      </c>
      <c r="E215" s="61" t="str">
        <f>'графік із підвищеною %'!H98</f>
        <v/>
      </c>
      <c r="F215" s="60" t="str">
        <f>'графік із підвищеною %'!F98</f>
        <v/>
      </c>
      <c r="G215" s="61" t="str">
        <f>'графік із підвищеною %'!G98</f>
        <v/>
      </c>
      <c r="H215" s="64">
        <f>графік!M215</f>
        <v>0</v>
      </c>
      <c r="I215" s="64"/>
      <c r="J215" s="64"/>
      <c r="K215" s="64"/>
      <c r="L215" s="64"/>
      <c r="M215" s="64"/>
      <c r="N215" s="64"/>
      <c r="O215" s="64"/>
      <c r="P215" s="132" t="str">
        <f>'графік із підвищеною %'!Q98</f>
        <v/>
      </c>
      <c r="Q215" s="61" t="str">
        <f t="shared" ca="1" si="3"/>
        <v xml:space="preserve"> </v>
      </c>
    </row>
    <row r="216" spans="1:17" x14ac:dyDescent="0.35">
      <c r="A216" s="57" t="str">
        <f>'графік із підвищеною %'!A99</f>
        <v/>
      </c>
      <c r="B216" s="58" t="str">
        <f ca="1">'графік із підвищеною %'!C99</f>
        <v xml:space="preserve"> </v>
      </c>
      <c r="C216" s="59" t="str">
        <f>'графік із підвищеною %'!D99</f>
        <v/>
      </c>
      <c r="D216" s="60" t="str">
        <f>'графік із підвищеною %'!E99</f>
        <v/>
      </c>
      <c r="E216" s="61" t="str">
        <f>'графік із підвищеною %'!H99</f>
        <v/>
      </c>
      <c r="F216" s="60" t="str">
        <f>'графік із підвищеною %'!F99</f>
        <v/>
      </c>
      <c r="G216" s="61" t="str">
        <f>'графік із підвищеною %'!G99</f>
        <v/>
      </c>
      <c r="H216" s="64">
        <f>графік!M216</f>
        <v>0</v>
      </c>
      <c r="I216" s="64"/>
      <c r="J216" s="64"/>
      <c r="K216" s="64"/>
      <c r="L216" s="64"/>
      <c r="M216" s="64"/>
      <c r="N216" s="64"/>
      <c r="O216" s="64"/>
      <c r="P216" s="132" t="str">
        <f>'графік із підвищеною %'!Q99</f>
        <v/>
      </c>
      <c r="Q216" s="61" t="str">
        <f t="shared" ca="1" si="3"/>
        <v xml:space="preserve"> </v>
      </c>
    </row>
    <row r="217" spans="1:17" x14ac:dyDescent="0.35">
      <c r="A217" s="57" t="str">
        <f>'графік із підвищеною %'!A100</f>
        <v/>
      </c>
      <c r="B217" s="58" t="str">
        <f ca="1">'графік із підвищеною %'!C100</f>
        <v xml:space="preserve"> </v>
      </c>
      <c r="C217" s="59" t="str">
        <f>'графік із підвищеною %'!D100</f>
        <v/>
      </c>
      <c r="D217" s="60" t="str">
        <f>'графік із підвищеною %'!E100</f>
        <v/>
      </c>
      <c r="E217" s="61" t="str">
        <f>'графік із підвищеною %'!H100</f>
        <v/>
      </c>
      <c r="F217" s="60" t="str">
        <f>'графік із підвищеною %'!F100</f>
        <v/>
      </c>
      <c r="G217" s="61" t="str">
        <f>'графік із підвищеною %'!G100</f>
        <v/>
      </c>
      <c r="H217" s="64">
        <f>графік!M217</f>
        <v>0</v>
      </c>
      <c r="I217" s="64"/>
      <c r="J217" s="64"/>
      <c r="K217" s="64"/>
      <c r="L217" s="64"/>
      <c r="M217" s="64"/>
      <c r="N217" s="64"/>
      <c r="O217" s="64"/>
      <c r="P217" s="132" t="str">
        <f>'графік із підвищеною %'!Q100</f>
        <v/>
      </c>
      <c r="Q217" s="61" t="str">
        <f t="shared" ca="1" si="3"/>
        <v xml:space="preserve"> </v>
      </c>
    </row>
    <row r="218" spans="1:17" x14ac:dyDescent="0.35">
      <c r="A218" s="57" t="str">
        <f>'графік із підвищеною %'!A101</f>
        <v/>
      </c>
      <c r="B218" s="58" t="str">
        <f ca="1">'графік із підвищеною %'!C101</f>
        <v xml:space="preserve"> </v>
      </c>
      <c r="C218" s="59" t="str">
        <f>'графік із підвищеною %'!D101</f>
        <v/>
      </c>
      <c r="D218" s="60" t="str">
        <f>'графік із підвищеною %'!E101</f>
        <v/>
      </c>
      <c r="E218" s="61" t="str">
        <f>'графік із підвищеною %'!H101</f>
        <v/>
      </c>
      <c r="F218" s="60" t="str">
        <f>'графік із підвищеною %'!F101</f>
        <v/>
      </c>
      <c r="G218" s="61" t="str">
        <f>'графік із підвищеною %'!G101</f>
        <v/>
      </c>
      <c r="H218" s="64">
        <f>графік!M218</f>
        <v>0</v>
      </c>
      <c r="I218" s="64"/>
      <c r="J218" s="64"/>
      <c r="K218" s="64"/>
      <c r="L218" s="64"/>
      <c r="M218" s="64"/>
      <c r="N218" s="64"/>
      <c r="O218" s="64"/>
      <c r="P218" s="132" t="str">
        <f>'графік із підвищеною %'!Q101</f>
        <v/>
      </c>
      <c r="Q218" s="61" t="str">
        <f t="shared" ca="1" si="3"/>
        <v xml:space="preserve"> </v>
      </c>
    </row>
    <row r="219" spans="1:17" x14ac:dyDescent="0.35">
      <c r="A219" s="57" t="str">
        <f>'графік із підвищеною %'!A102</f>
        <v/>
      </c>
      <c r="B219" s="58" t="str">
        <f ca="1">'графік із підвищеною %'!C102</f>
        <v xml:space="preserve"> </v>
      </c>
      <c r="C219" s="59" t="str">
        <f>'графік із підвищеною %'!D102</f>
        <v/>
      </c>
      <c r="D219" s="60" t="str">
        <f>'графік із підвищеною %'!E102</f>
        <v/>
      </c>
      <c r="E219" s="61" t="str">
        <f>'графік із підвищеною %'!H102</f>
        <v/>
      </c>
      <c r="F219" s="60" t="str">
        <f>'графік із підвищеною %'!F102</f>
        <v/>
      </c>
      <c r="G219" s="61" t="str">
        <f>'графік із підвищеною %'!G102</f>
        <v/>
      </c>
      <c r="H219" s="64">
        <f>графік!M219</f>
        <v>0</v>
      </c>
      <c r="I219" s="64"/>
      <c r="J219" s="64"/>
      <c r="K219" s="64"/>
      <c r="L219" s="64"/>
      <c r="M219" s="64"/>
      <c r="N219" s="64"/>
      <c r="O219" s="64"/>
      <c r="P219" s="132" t="str">
        <f>'графік із підвищеною %'!Q102</f>
        <v/>
      </c>
      <c r="Q219" s="61" t="str">
        <f t="shared" ca="1" si="3"/>
        <v xml:space="preserve"> </v>
      </c>
    </row>
    <row r="220" spans="1:17" x14ac:dyDescent="0.35">
      <c r="A220" s="57" t="str">
        <f>'графік із підвищеною %'!A103</f>
        <v/>
      </c>
      <c r="B220" s="58" t="str">
        <f ca="1">'графік із підвищеною %'!C103</f>
        <v xml:space="preserve"> </v>
      </c>
      <c r="C220" s="59" t="str">
        <f>'графік із підвищеною %'!D103</f>
        <v/>
      </c>
      <c r="D220" s="60" t="str">
        <f>'графік із підвищеною %'!E103</f>
        <v/>
      </c>
      <c r="E220" s="61" t="str">
        <f>'графік із підвищеною %'!H103</f>
        <v/>
      </c>
      <c r="F220" s="60" t="str">
        <f>'графік із підвищеною %'!F103</f>
        <v/>
      </c>
      <c r="G220" s="61" t="str">
        <f>'графік із підвищеною %'!G103</f>
        <v/>
      </c>
      <c r="H220" s="64">
        <f>графік!M220</f>
        <v>0</v>
      </c>
      <c r="I220" s="64"/>
      <c r="J220" s="64"/>
      <c r="K220" s="64"/>
      <c r="L220" s="64"/>
      <c r="M220" s="64"/>
      <c r="N220" s="64"/>
      <c r="O220" s="64"/>
      <c r="P220" s="132" t="str">
        <f>'графік із підвищеною %'!Q103</f>
        <v/>
      </c>
      <c r="Q220" s="61" t="str">
        <f t="shared" ca="1" si="3"/>
        <v xml:space="preserve"> </v>
      </c>
    </row>
    <row r="221" spans="1:17" x14ac:dyDescent="0.35">
      <c r="A221" s="57" t="str">
        <f>'графік із підвищеною %'!A104</f>
        <v/>
      </c>
      <c r="B221" s="58" t="str">
        <f ca="1">'графік із підвищеною %'!C104</f>
        <v xml:space="preserve"> </v>
      </c>
      <c r="C221" s="59" t="str">
        <f>'графік із підвищеною %'!D104</f>
        <v/>
      </c>
      <c r="D221" s="60" t="str">
        <f>'графік із підвищеною %'!E104</f>
        <v/>
      </c>
      <c r="E221" s="61" t="str">
        <f>'графік із підвищеною %'!H104</f>
        <v/>
      </c>
      <c r="F221" s="60" t="str">
        <f>'графік із підвищеною %'!F104</f>
        <v/>
      </c>
      <c r="G221" s="61" t="str">
        <f>'графік із підвищеною %'!G104</f>
        <v/>
      </c>
      <c r="H221" s="64">
        <f>графік!M221</f>
        <v>0</v>
      </c>
      <c r="I221" s="64"/>
      <c r="J221" s="64"/>
      <c r="K221" s="64"/>
      <c r="L221" s="64"/>
      <c r="M221" s="64"/>
      <c r="N221" s="64"/>
      <c r="O221" s="64"/>
      <c r="P221" s="132" t="str">
        <f>'графік із підвищеною %'!Q104</f>
        <v/>
      </c>
      <c r="Q221" s="61" t="str">
        <f t="shared" ca="1" si="3"/>
        <v xml:space="preserve"> </v>
      </c>
    </row>
    <row r="222" spans="1:17" x14ac:dyDescent="0.35">
      <c r="A222" s="57" t="str">
        <f>'графік із підвищеною %'!A105</f>
        <v/>
      </c>
      <c r="B222" s="58" t="str">
        <f ca="1">'графік із підвищеною %'!C105</f>
        <v xml:space="preserve"> </v>
      </c>
      <c r="C222" s="59" t="str">
        <f>'графік із підвищеною %'!D105</f>
        <v/>
      </c>
      <c r="D222" s="60" t="str">
        <f>'графік із підвищеною %'!E105</f>
        <v/>
      </c>
      <c r="E222" s="61" t="str">
        <f>'графік із підвищеною %'!H105</f>
        <v/>
      </c>
      <c r="F222" s="60" t="str">
        <f>'графік із підвищеною %'!F105</f>
        <v/>
      </c>
      <c r="G222" s="61" t="str">
        <f>'графік із підвищеною %'!G105</f>
        <v/>
      </c>
      <c r="H222" s="64">
        <f>графік!M222</f>
        <v>0</v>
      </c>
      <c r="I222" s="64"/>
      <c r="J222" s="64"/>
      <c r="K222" s="64"/>
      <c r="L222" s="64"/>
      <c r="M222" s="64"/>
      <c r="N222" s="64"/>
      <c r="O222" s="64"/>
      <c r="P222" s="132" t="str">
        <f>'графік із підвищеною %'!Q105</f>
        <v/>
      </c>
      <c r="Q222" s="61" t="str">
        <f t="shared" ca="1" si="3"/>
        <v xml:space="preserve"> </v>
      </c>
    </row>
    <row r="223" spans="1:17" x14ac:dyDescent="0.35">
      <c r="A223" s="57" t="str">
        <f>'графік із підвищеною %'!A106</f>
        <v/>
      </c>
      <c r="B223" s="58" t="str">
        <f ca="1">'графік із підвищеною %'!C106</f>
        <v xml:space="preserve"> </v>
      </c>
      <c r="C223" s="59" t="str">
        <f>'графік із підвищеною %'!D106</f>
        <v/>
      </c>
      <c r="D223" s="60" t="str">
        <f>'графік із підвищеною %'!E106</f>
        <v/>
      </c>
      <c r="E223" s="61" t="str">
        <f>'графік із підвищеною %'!H106</f>
        <v/>
      </c>
      <c r="F223" s="60" t="str">
        <f>'графік із підвищеною %'!F106</f>
        <v/>
      </c>
      <c r="G223" s="61" t="str">
        <f>'графік із підвищеною %'!G106</f>
        <v/>
      </c>
      <c r="H223" s="64">
        <f>графік!M223</f>
        <v>0</v>
      </c>
      <c r="I223" s="64"/>
      <c r="J223" s="64"/>
      <c r="K223" s="64"/>
      <c r="L223" s="64"/>
      <c r="M223" s="64"/>
      <c r="N223" s="64"/>
      <c r="O223" s="64"/>
      <c r="P223" s="132" t="str">
        <f>'графік із підвищеною %'!Q106</f>
        <v/>
      </c>
      <c r="Q223" s="61" t="str">
        <f t="shared" ca="1" si="3"/>
        <v xml:space="preserve"> </v>
      </c>
    </row>
    <row r="224" spans="1:17" x14ac:dyDescent="0.35">
      <c r="A224" s="57" t="str">
        <f>'графік із підвищеною %'!A107</f>
        <v/>
      </c>
      <c r="B224" s="58" t="str">
        <f ca="1">'графік із підвищеною %'!C107</f>
        <v xml:space="preserve"> </v>
      </c>
      <c r="C224" s="59" t="str">
        <f>'графік із підвищеною %'!D107</f>
        <v/>
      </c>
      <c r="D224" s="60" t="str">
        <f>'графік із підвищеною %'!E107</f>
        <v/>
      </c>
      <c r="E224" s="61" t="str">
        <f>'графік із підвищеною %'!H107</f>
        <v/>
      </c>
      <c r="F224" s="60" t="str">
        <f>'графік із підвищеною %'!F107</f>
        <v/>
      </c>
      <c r="G224" s="61" t="str">
        <f>'графік із підвищеною %'!G107</f>
        <v/>
      </c>
      <c r="H224" s="64">
        <f>графік!M224</f>
        <v>0</v>
      </c>
      <c r="I224" s="64"/>
      <c r="J224" s="64"/>
      <c r="K224" s="64"/>
      <c r="L224" s="64"/>
      <c r="M224" s="64"/>
      <c r="N224" s="64"/>
      <c r="O224" s="64"/>
      <c r="P224" s="132" t="str">
        <f>'графік із підвищеною %'!Q107</f>
        <v/>
      </c>
      <c r="Q224" s="61" t="str">
        <f t="shared" ca="1" si="3"/>
        <v xml:space="preserve"> </v>
      </c>
    </row>
    <row r="225" spans="1:17" x14ac:dyDescent="0.35">
      <c r="A225" s="57" t="str">
        <f>'графік із підвищеною %'!A108</f>
        <v/>
      </c>
      <c r="B225" s="58" t="str">
        <f ca="1">'графік із підвищеною %'!C108</f>
        <v xml:space="preserve"> </v>
      </c>
      <c r="C225" s="59" t="str">
        <f>'графік із підвищеною %'!D108</f>
        <v/>
      </c>
      <c r="D225" s="60" t="str">
        <f>'графік із підвищеною %'!E108</f>
        <v/>
      </c>
      <c r="E225" s="61" t="str">
        <f>'графік із підвищеною %'!H108</f>
        <v/>
      </c>
      <c r="F225" s="60" t="str">
        <f>'графік із підвищеною %'!F108</f>
        <v/>
      </c>
      <c r="G225" s="61" t="str">
        <f>'графік із підвищеною %'!G108</f>
        <v/>
      </c>
      <c r="H225" s="64">
        <f>графік!M225</f>
        <v>0</v>
      </c>
      <c r="I225" s="64"/>
      <c r="J225" s="64"/>
      <c r="K225" s="64"/>
      <c r="L225" s="64"/>
      <c r="M225" s="64"/>
      <c r="N225" s="64"/>
      <c r="O225" s="64"/>
      <c r="P225" s="132" t="str">
        <f>'графік із підвищеною %'!Q108</f>
        <v/>
      </c>
      <c r="Q225" s="61" t="str">
        <f t="shared" ca="1" si="3"/>
        <v xml:space="preserve"> </v>
      </c>
    </row>
    <row r="226" spans="1:17" x14ac:dyDescent="0.35">
      <c r="A226" s="57" t="str">
        <f>'графік із підвищеною %'!A109</f>
        <v/>
      </c>
      <c r="B226" s="58" t="str">
        <f ca="1">'графік із підвищеною %'!C109</f>
        <v xml:space="preserve"> </v>
      </c>
      <c r="C226" s="59" t="str">
        <f>'графік із підвищеною %'!D109</f>
        <v/>
      </c>
      <c r="D226" s="60" t="str">
        <f>'графік із підвищеною %'!E109</f>
        <v/>
      </c>
      <c r="E226" s="61" t="str">
        <f>'графік із підвищеною %'!H109</f>
        <v/>
      </c>
      <c r="F226" s="60" t="str">
        <f>'графік із підвищеною %'!F109</f>
        <v/>
      </c>
      <c r="G226" s="61" t="str">
        <f>'графік із підвищеною %'!G109</f>
        <v/>
      </c>
      <c r="H226" s="64">
        <f>графік!M226</f>
        <v>0</v>
      </c>
      <c r="I226" s="64"/>
      <c r="J226" s="64"/>
      <c r="K226" s="64"/>
      <c r="L226" s="64"/>
      <c r="M226" s="64"/>
      <c r="N226" s="64"/>
      <c r="O226" s="64"/>
      <c r="P226" s="132" t="str">
        <f>'графік із підвищеною %'!Q109</f>
        <v/>
      </c>
      <c r="Q226" s="61" t="str">
        <f t="shared" ca="1" si="3"/>
        <v xml:space="preserve"> </v>
      </c>
    </row>
    <row r="227" spans="1:17" x14ac:dyDescent="0.35">
      <c r="A227" s="57" t="str">
        <f>'графік із підвищеною %'!A110</f>
        <v/>
      </c>
      <c r="B227" s="58" t="str">
        <f ca="1">'графік із підвищеною %'!C110</f>
        <v xml:space="preserve"> </v>
      </c>
      <c r="C227" s="59" t="str">
        <f>'графік із підвищеною %'!D110</f>
        <v/>
      </c>
      <c r="D227" s="60" t="str">
        <f>'графік із підвищеною %'!E110</f>
        <v/>
      </c>
      <c r="E227" s="61" t="str">
        <f>'графік із підвищеною %'!H110</f>
        <v/>
      </c>
      <c r="F227" s="60" t="str">
        <f>'графік із підвищеною %'!F110</f>
        <v/>
      </c>
      <c r="G227" s="61" t="str">
        <f>'графік із підвищеною %'!G110</f>
        <v/>
      </c>
      <c r="H227" s="64">
        <f>графік!M227</f>
        <v>0</v>
      </c>
      <c r="I227" s="64"/>
      <c r="J227" s="64"/>
      <c r="K227" s="64"/>
      <c r="L227" s="64"/>
      <c r="M227" s="64"/>
      <c r="N227" s="64"/>
      <c r="O227" s="64"/>
      <c r="P227" s="132" t="str">
        <f>'графік із підвищеною %'!Q110</f>
        <v/>
      </c>
      <c r="Q227" s="61" t="str">
        <f t="shared" ca="1" si="3"/>
        <v xml:space="preserve"> </v>
      </c>
    </row>
    <row r="228" spans="1:17" x14ac:dyDescent="0.35">
      <c r="A228" s="57" t="str">
        <f>'графік із підвищеною %'!A111</f>
        <v/>
      </c>
      <c r="B228" s="58" t="str">
        <f ca="1">'графік із підвищеною %'!C111</f>
        <v xml:space="preserve"> </v>
      </c>
      <c r="C228" s="59" t="str">
        <f>'графік із підвищеною %'!D111</f>
        <v/>
      </c>
      <c r="D228" s="60" t="str">
        <f>'графік із підвищеною %'!E111</f>
        <v/>
      </c>
      <c r="E228" s="61" t="str">
        <f>'графік із підвищеною %'!H111</f>
        <v/>
      </c>
      <c r="F228" s="60" t="str">
        <f>'графік із підвищеною %'!F111</f>
        <v/>
      </c>
      <c r="G228" s="61" t="str">
        <f>'графік із підвищеною %'!G111</f>
        <v/>
      </c>
      <c r="H228" s="64">
        <f>графік!M228</f>
        <v>0</v>
      </c>
      <c r="I228" s="64"/>
      <c r="J228" s="64"/>
      <c r="K228" s="64"/>
      <c r="L228" s="64"/>
      <c r="M228" s="64"/>
      <c r="N228" s="64"/>
      <c r="O228" s="64"/>
      <c r="P228" s="132" t="str">
        <f>'графік із підвищеною %'!Q111</f>
        <v/>
      </c>
      <c r="Q228" s="61" t="str">
        <f t="shared" ca="1" si="3"/>
        <v xml:space="preserve"> </v>
      </c>
    </row>
    <row r="229" spans="1:17" x14ac:dyDescent="0.35">
      <c r="A229" s="57" t="str">
        <f>'графік із підвищеною %'!A112</f>
        <v/>
      </c>
      <c r="B229" s="58" t="str">
        <f ca="1">'графік із підвищеною %'!C112</f>
        <v xml:space="preserve"> </v>
      </c>
      <c r="C229" s="59" t="str">
        <f>'графік із підвищеною %'!D112</f>
        <v/>
      </c>
      <c r="D229" s="60" t="str">
        <f>'графік із підвищеною %'!E112</f>
        <v/>
      </c>
      <c r="E229" s="61" t="str">
        <f>'графік із підвищеною %'!H112</f>
        <v/>
      </c>
      <c r="F229" s="60" t="str">
        <f>'графік із підвищеною %'!F112</f>
        <v/>
      </c>
      <c r="G229" s="61" t="str">
        <f>'графік із підвищеною %'!G112</f>
        <v/>
      </c>
      <c r="H229" s="64">
        <f>графік!M229</f>
        <v>0</v>
      </c>
      <c r="I229" s="64"/>
      <c r="J229" s="64"/>
      <c r="K229" s="64"/>
      <c r="L229" s="64"/>
      <c r="M229" s="64"/>
      <c r="N229" s="64"/>
      <c r="O229" s="64"/>
      <c r="P229" s="132" t="str">
        <f>'графік із підвищеною %'!Q112</f>
        <v/>
      </c>
      <c r="Q229" s="61" t="str">
        <f t="shared" ca="1" si="3"/>
        <v xml:space="preserve"> </v>
      </c>
    </row>
    <row r="230" spans="1:17" x14ac:dyDescent="0.35">
      <c r="A230" s="365" t="s">
        <v>100</v>
      </c>
      <c r="B230" s="365"/>
      <c r="C230" s="365"/>
      <c r="D230" s="365"/>
      <c r="E230" s="61" t="str">
        <f>'графік із підвищеною %'!H113</f>
        <v/>
      </c>
      <c r="F230" s="60" t="str">
        <f>'графік із підвищеною %'!F113</f>
        <v/>
      </c>
      <c r="G230" s="61" t="str">
        <f>'графік із підвищеною %'!G113</f>
        <v/>
      </c>
      <c r="H230" s="64">
        <f>графік!M230</f>
        <v>0</v>
      </c>
      <c r="I230" s="64"/>
      <c r="J230" s="64"/>
      <c r="K230" s="64"/>
      <c r="L230" s="64"/>
      <c r="M230" s="64"/>
      <c r="N230" s="64"/>
      <c r="O230" s="64"/>
      <c r="P230" s="132" t="str">
        <f>'графік із підвищеною %'!Q113</f>
        <v/>
      </c>
      <c r="Q230" s="61" t="str">
        <f t="shared" ca="1" si="3"/>
        <v xml:space="preserve"> </v>
      </c>
    </row>
  </sheetData>
  <mergeCells count="80">
    <mergeCell ref="Q5:Q6"/>
    <mergeCell ref="E14:F14"/>
    <mergeCell ref="A2:Q2"/>
    <mergeCell ref="E4:F4"/>
    <mergeCell ref="E5:F5"/>
    <mergeCell ref="E6:F6"/>
    <mergeCell ref="E7:F7"/>
    <mergeCell ref="E8:F8"/>
    <mergeCell ref="E9:F9"/>
    <mergeCell ref="E11:F11"/>
    <mergeCell ref="E13:F13"/>
    <mergeCell ref="Q7:Q8"/>
    <mergeCell ref="Q10:Q11"/>
    <mergeCell ref="O5:P6"/>
    <mergeCell ref="O7:P8"/>
    <mergeCell ref="O9:P9"/>
    <mergeCell ref="A114:D114"/>
    <mergeCell ref="A15:F15"/>
    <mergeCell ref="A16:B16"/>
    <mergeCell ref="A21:A28"/>
    <mergeCell ref="B21:B28"/>
    <mergeCell ref="C21:C28"/>
    <mergeCell ref="D21:D28"/>
    <mergeCell ref="E21:E28"/>
    <mergeCell ref="A17:B17"/>
    <mergeCell ref="L21:M21"/>
    <mergeCell ref="L22:L28"/>
    <mergeCell ref="M22:M28"/>
    <mergeCell ref="N22:N28"/>
    <mergeCell ref="O22:O28"/>
    <mergeCell ref="H22:H27"/>
    <mergeCell ref="K22:K28"/>
    <mergeCell ref="F21:K21"/>
    <mergeCell ref="I22:I28"/>
    <mergeCell ref="J22:J28"/>
    <mergeCell ref="E123:F123"/>
    <mergeCell ref="E124:F124"/>
    <mergeCell ref="E125:F125"/>
    <mergeCell ref="E127:F127"/>
    <mergeCell ref="E129:F129"/>
    <mergeCell ref="E130:F130"/>
    <mergeCell ref="A131:F131"/>
    <mergeCell ref="A132:B132"/>
    <mergeCell ref="A133:B133"/>
    <mergeCell ref="A137:A144"/>
    <mergeCell ref="B137:B144"/>
    <mergeCell ref="C137:C144"/>
    <mergeCell ref="D137:D144"/>
    <mergeCell ref="E137:E144"/>
    <mergeCell ref="A230:D230"/>
    <mergeCell ref="P137:P144"/>
    <mergeCell ref="Q137:Q144"/>
    <mergeCell ref="F138:F144"/>
    <mergeCell ref="G138:G144"/>
    <mergeCell ref="H138:H143"/>
    <mergeCell ref="K138:K144"/>
    <mergeCell ref="F137:K137"/>
    <mergeCell ref="L137:M137"/>
    <mergeCell ref="L138:L144"/>
    <mergeCell ref="M138:M144"/>
    <mergeCell ref="N138:N144"/>
    <mergeCell ref="O138:O144"/>
    <mergeCell ref="I138:I144"/>
    <mergeCell ref="J138:J144"/>
    <mergeCell ref="O126:P127"/>
    <mergeCell ref="Q126:Q127"/>
    <mergeCell ref="O10:P11"/>
    <mergeCell ref="P21:P28"/>
    <mergeCell ref="O123:P124"/>
    <mergeCell ref="Q123:Q124"/>
    <mergeCell ref="O125:P125"/>
    <mergeCell ref="A118:Q118"/>
    <mergeCell ref="E120:F120"/>
    <mergeCell ref="E121:F121"/>
    <mergeCell ref="Q121:Q122"/>
    <mergeCell ref="E122:F122"/>
    <mergeCell ref="O121:P122"/>
    <mergeCell ref="Q21:Q28"/>
    <mergeCell ref="F22:F28"/>
    <mergeCell ref="G22:G28"/>
  </mergeCells>
  <pageMargins left="0.7" right="0.7" top="0.75" bottom="0.75" header="0.3" footer="0.3"/>
  <pageSetup paperSize="9" orientation="portrait" r:id="rId1"/>
  <ignoredErrors>
    <ignoredError sqref="E8:F9 E124:F125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27" workbookViewId="0">
      <selection activeCell="B32" sqref="B32"/>
    </sheetView>
  </sheetViews>
  <sheetFormatPr defaultColWidth="9.1796875" defaultRowHeight="14.5" x14ac:dyDescent="0.35"/>
  <cols>
    <col min="1" max="1" width="9.1796875" style="5"/>
    <col min="2" max="2" width="60.1796875" style="5" customWidth="1"/>
    <col min="3" max="3" width="26.7265625" style="5" bestFit="1" customWidth="1"/>
    <col min="4" max="4" width="19.26953125" style="5" bestFit="1" customWidth="1"/>
    <col min="5" max="5" width="9.1796875" style="5"/>
    <col min="6" max="6" width="50.7265625" style="5" customWidth="1"/>
    <col min="7" max="7" width="46.54296875" style="5" bestFit="1" customWidth="1"/>
    <col min="8" max="16384" width="9.1796875" style="5"/>
  </cols>
  <sheetData>
    <row r="1" spans="1:10" x14ac:dyDescent="0.35">
      <c r="A1" s="197"/>
      <c r="B1" s="198" t="s">
        <v>165</v>
      </c>
      <c r="C1" s="198"/>
      <c r="D1" s="199"/>
      <c r="E1" s="199"/>
      <c r="F1" s="197"/>
      <c r="G1" s="197"/>
      <c r="H1" s="200"/>
      <c r="I1" s="200"/>
      <c r="J1" s="201"/>
    </row>
    <row r="2" spans="1:10" ht="15.75" customHeight="1" x14ac:dyDescent="0.35">
      <c r="A2" s="202">
        <v>1</v>
      </c>
      <c r="B2" s="203" t="s">
        <v>166</v>
      </c>
      <c r="C2" s="204" t="s">
        <v>167</v>
      </c>
      <c r="D2" s="205" t="s">
        <v>168</v>
      </c>
      <c r="E2" s="202" t="s">
        <v>169</v>
      </c>
      <c r="F2" s="203" t="s">
        <v>170</v>
      </c>
      <c r="G2" s="202" t="s">
        <v>171</v>
      </c>
      <c r="H2" s="206" t="s">
        <v>172</v>
      </c>
      <c r="I2" s="207" t="s">
        <v>173</v>
      </c>
      <c r="J2" s="208" t="s">
        <v>174</v>
      </c>
    </row>
    <row r="3" spans="1:10" ht="12.75" customHeight="1" x14ac:dyDescent="0.35">
      <c r="A3" s="202">
        <v>2</v>
      </c>
      <c r="B3" s="203" t="s">
        <v>175</v>
      </c>
      <c r="C3" s="204" t="s">
        <v>176</v>
      </c>
      <c r="D3" s="205" t="s">
        <v>177</v>
      </c>
      <c r="E3" s="202" t="s">
        <v>178</v>
      </c>
      <c r="F3" s="203" t="s">
        <v>179</v>
      </c>
      <c r="G3" s="202" t="s">
        <v>180</v>
      </c>
      <c r="H3" s="206" t="s">
        <v>181</v>
      </c>
      <c r="I3" s="207" t="s">
        <v>182</v>
      </c>
      <c r="J3" s="208" t="s">
        <v>174</v>
      </c>
    </row>
    <row r="4" spans="1:10" ht="33.75" customHeight="1" x14ac:dyDescent="0.35">
      <c r="A4" s="202">
        <v>3</v>
      </c>
      <c r="B4" s="203" t="s">
        <v>183</v>
      </c>
      <c r="C4" s="204" t="s">
        <v>184</v>
      </c>
      <c r="D4" s="205" t="s">
        <v>185</v>
      </c>
      <c r="E4" s="202" t="s">
        <v>186</v>
      </c>
      <c r="F4" s="203" t="s">
        <v>187</v>
      </c>
      <c r="G4" s="202" t="s">
        <v>188</v>
      </c>
      <c r="H4" s="206" t="s">
        <v>189</v>
      </c>
      <c r="I4" s="207" t="s">
        <v>190</v>
      </c>
      <c r="J4" s="208" t="s">
        <v>174</v>
      </c>
    </row>
    <row r="5" spans="1:10" ht="16.5" customHeight="1" x14ac:dyDescent="0.35">
      <c r="A5" s="202">
        <v>4</v>
      </c>
      <c r="B5" s="203" t="s">
        <v>191</v>
      </c>
      <c r="C5" s="204" t="s">
        <v>192</v>
      </c>
      <c r="D5" s="205" t="s">
        <v>193</v>
      </c>
      <c r="E5" s="202" t="s">
        <v>194</v>
      </c>
      <c r="F5" s="203" t="s">
        <v>195</v>
      </c>
      <c r="G5" s="202" t="s">
        <v>196</v>
      </c>
      <c r="H5" s="206" t="s">
        <v>197</v>
      </c>
      <c r="I5" s="207" t="s">
        <v>198</v>
      </c>
      <c r="J5" s="208" t="s">
        <v>174</v>
      </c>
    </row>
    <row r="6" spans="1:10" ht="16.5" customHeight="1" x14ac:dyDescent="0.35">
      <c r="A6" s="202">
        <v>5</v>
      </c>
      <c r="B6" s="203" t="s">
        <v>199</v>
      </c>
      <c r="C6" s="204" t="s">
        <v>200</v>
      </c>
      <c r="D6" s="205" t="s">
        <v>201</v>
      </c>
      <c r="E6" s="202" t="s">
        <v>202</v>
      </c>
      <c r="F6" s="203" t="s">
        <v>203</v>
      </c>
      <c r="G6" s="202" t="s">
        <v>204</v>
      </c>
      <c r="H6" s="206" t="s">
        <v>205</v>
      </c>
      <c r="I6" s="207" t="s">
        <v>206</v>
      </c>
      <c r="J6" s="208" t="s">
        <v>174</v>
      </c>
    </row>
    <row r="7" spans="1:10" ht="41.25" customHeight="1" x14ac:dyDescent="0.35">
      <c r="A7" s="202">
        <v>6</v>
      </c>
      <c r="B7" s="203" t="s">
        <v>207</v>
      </c>
      <c r="C7" s="204" t="s">
        <v>208</v>
      </c>
      <c r="D7" s="205" t="s">
        <v>209</v>
      </c>
      <c r="E7" s="202" t="s">
        <v>210</v>
      </c>
      <c r="F7" s="203" t="s">
        <v>211</v>
      </c>
      <c r="G7" s="202" t="s">
        <v>212</v>
      </c>
      <c r="H7" s="206" t="s">
        <v>213</v>
      </c>
      <c r="I7" s="207" t="s">
        <v>214</v>
      </c>
      <c r="J7" s="208" t="s">
        <v>174</v>
      </c>
    </row>
    <row r="8" spans="1:10" ht="16.5" customHeight="1" x14ac:dyDescent="0.35">
      <c r="A8" s="202">
        <v>7</v>
      </c>
      <c r="B8" s="203" t="s">
        <v>215</v>
      </c>
      <c r="C8" s="204" t="s">
        <v>216</v>
      </c>
      <c r="D8" s="205" t="s">
        <v>217</v>
      </c>
      <c r="E8" s="202" t="s">
        <v>218</v>
      </c>
      <c r="F8" s="203" t="s">
        <v>219</v>
      </c>
      <c r="G8" s="202" t="s">
        <v>220</v>
      </c>
      <c r="H8" s="206" t="s">
        <v>221</v>
      </c>
      <c r="I8" s="207" t="s">
        <v>222</v>
      </c>
      <c r="J8" s="208" t="s">
        <v>174</v>
      </c>
    </row>
    <row r="9" spans="1:10" ht="16.5" customHeight="1" x14ac:dyDescent="0.35">
      <c r="A9" s="202">
        <v>8</v>
      </c>
      <c r="B9" s="203" t="s">
        <v>223</v>
      </c>
      <c r="C9" s="204" t="s">
        <v>224</v>
      </c>
      <c r="D9" s="205" t="s">
        <v>225</v>
      </c>
      <c r="E9" s="202" t="s">
        <v>226</v>
      </c>
      <c r="F9" s="203" t="s">
        <v>227</v>
      </c>
      <c r="G9" s="202" t="s">
        <v>228</v>
      </c>
      <c r="H9" s="206" t="s">
        <v>229</v>
      </c>
      <c r="I9" s="207" t="s">
        <v>230</v>
      </c>
      <c r="J9" s="208" t="s">
        <v>174</v>
      </c>
    </row>
    <row r="10" spans="1:10" ht="16.5" customHeight="1" x14ac:dyDescent="0.35">
      <c r="A10" s="202">
        <v>9</v>
      </c>
      <c r="B10" s="203" t="s">
        <v>231</v>
      </c>
      <c r="C10" s="204" t="s">
        <v>232</v>
      </c>
      <c r="D10" s="205" t="s">
        <v>233</v>
      </c>
      <c r="E10" s="202" t="s">
        <v>234</v>
      </c>
      <c r="F10" s="203" t="s">
        <v>235</v>
      </c>
      <c r="G10" s="202" t="s">
        <v>236</v>
      </c>
      <c r="H10" s="206" t="s">
        <v>237</v>
      </c>
      <c r="I10" s="207" t="s">
        <v>238</v>
      </c>
      <c r="J10" s="208" t="s">
        <v>174</v>
      </c>
    </row>
    <row r="11" spans="1:10" ht="16.5" customHeight="1" x14ac:dyDescent="0.35">
      <c r="A11" s="202">
        <v>10</v>
      </c>
      <c r="B11" s="203" t="s">
        <v>239</v>
      </c>
      <c r="C11" s="204" t="s">
        <v>240</v>
      </c>
      <c r="D11" s="205" t="s">
        <v>241</v>
      </c>
      <c r="E11" s="202" t="s">
        <v>242</v>
      </c>
      <c r="F11" s="203" t="s">
        <v>243</v>
      </c>
      <c r="G11" s="202" t="s">
        <v>244</v>
      </c>
      <c r="H11" s="206" t="s">
        <v>245</v>
      </c>
      <c r="I11" s="207" t="s">
        <v>246</v>
      </c>
      <c r="J11" s="208" t="s">
        <v>174</v>
      </c>
    </row>
    <row r="12" spans="1:10" ht="16.5" customHeight="1" x14ac:dyDescent="0.35">
      <c r="A12" s="202">
        <v>11</v>
      </c>
      <c r="B12" s="203" t="s">
        <v>247</v>
      </c>
      <c r="C12" s="204" t="s">
        <v>248</v>
      </c>
      <c r="D12" s="205" t="s">
        <v>249</v>
      </c>
      <c r="E12" s="202" t="s">
        <v>250</v>
      </c>
      <c r="F12" s="203" t="s">
        <v>251</v>
      </c>
      <c r="G12" s="202" t="s">
        <v>252</v>
      </c>
      <c r="H12" s="206" t="s">
        <v>253</v>
      </c>
      <c r="I12" s="207" t="s">
        <v>254</v>
      </c>
      <c r="J12" s="208" t="s">
        <v>174</v>
      </c>
    </row>
    <row r="13" spans="1:10" ht="16.5" customHeight="1" x14ac:dyDescent="0.35">
      <c r="A13" s="202">
        <v>12</v>
      </c>
      <c r="B13" s="203" t="s">
        <v>255</v>
      </c>
      <c r="C13" s="204" t="s">
        <v>256</v>
      </c>
      <c r="D13" s="205" t="s">
        <v>257</v>
      </c>
      <c r="E13" s="202" t="s">
        <v>258</v>
      </c>
      <c r="F13" s="203" t="s">
        <v>259</v>
      </c>
      <c r="G13" s="202" t="s">
        <v>260</v>
      </c>
      <c r="H13" s="206" t="s">
        <v>261</v>
      </c>
      <c r="I13" s="207" t="s">
        <v>262</v>
      </c>
      <c r="J13" s="208" t="s">
        <v>174</v>
      </c>
    </row>
    <row r="14" spans="1:10" ht="25.5" customHeight="1" x14ac:dyDescent="0.35">
      <c r="A14" s="202">
        <v>13</v>
      </c>
      <c r="B14" s="203" t="s">
        <v>263</v>
      </c>
      <c r="C14" s="204" t="s">
        <v>264</v>
      </c>
      <c r="D14" s="205" t="s">
        <v>265</v>
      </c>
      <c r="E14" s="202" t="s">
        <v>266</v>
      </c>
      <c r="F14" s="203" t="s">
        <v>267</v>
      </c>
      <c r="G14" s="202" t="s">
        <v>268</v>
      </c>
      <c r="H14" s="206" t="s">
        <v>269</v>
      </c>
      <c r="I14" s="207" t="s">
        <v>270</v>
      </c>
      <c r="J14" s="208" t="s">
        <v>174</v>
      </c>
    </row>
    <row r="15" spans="1:10" ht="28.5" customHeight="1" x14ac:dyDescent="0.35">
      <c r="A15" s="202">
        <v>14</v>
      </c>
      <c r="B15" s="203" t="s">
        <v>271</v>
      </c>
      <c r="C15" s="204" t="s">
        <v>272</v>
      </c>
      <c r="D15" s="205" t="s">
        <v>273</v>
      </c>
      <c r="E15" s="202" t="s">
        <v>274</v>
      </c>
      <c r="F15" s="203" t="s">
        <v>275</v>
      </c>
      <c r="G15" s="202" t="s">
        <v>276</v>
      </c>
      <c r="H15" s="206" t="s">
        <v>277</v>
      </c>
      <c r="I15" s="207" t="s">
        <v>278</v>
      </c>
      <c r="J15" s="208" t="s">
        <v>174</v>
      </c>
    </row>
    <row r="16" spans="1:10" ht="16.5" customHeight="1" x14ac:dyDescent="0.35">
      <c r="A16" s="202">
        <v>15</v>
      </c>
      <c r="B16" s="203" t="s">
        <v>279</v>
      </c>
      <c r="C16" s="204" t="s">
        <v>280</v>
      </c>
      <c r="D16" s="205" t="s">
        <v>281</v>
      </c>
      <c r="E16" s="202" t="s">
        <v>282</v>
      </c>
      <c r="F16" s="203" t="s">
        <v>283</v>
      </c>
      <c r="G16" s="202" t="s">
        <v>284</v>
      </c>
      <c r="H16" s="206" t="s">
        <v>285</v>
      </c>
      <c r="I16" s="207" t="s">
        <v>286</v>
      </c>
      <c r="J16" s="208" t="s">
        <v>174</v>
      </c>
    </row>
    <row r="17" spans="1:10" ht="16.5" customHeight="1" x14ac:dyDescent="0.35">
      <c r="A17" s="202">
        <v>16</v>
      </c>
      <c r="B17" s="203" t="s">
        <v>287</v>
      </c>
      <c r="C17" s="204" t="s">
        <v>288</v>
      </c>
      <c r="D17" s="205" t="s">
        <v>289</v>
      </c>
      <c r="E17" s="202" t="s">
        <v>290</v>
      </c>
      <c r="F17" s="203" t="s">
        <v>291</v>
      </c>
      <c r="G17" s="202" t="s">
        <v>292</v>
      </c>
      <c r="H17" s="206" t="s">
        <v>293</v>
      </c>
      <c r="I17" s="207" t="s">
        <v>294</v>
      </c>
      <c r="J17" s="208" t="s">
        <v>174</v>
      </c>
    </row>
    <row r="18" spans="1:10" ht="27" customHeight="1" x14ac:dyDescent="0.35">
      <c r="A18" s="202">
        <v>17</v>
      </c>
      <c r="B18" s="203" t="s">
        <v>295</v>
      </c>
      <c r="C18" s="204" t="s">
        <v>296</v>
      </c>
      <c r="D18" s="205" t="s">
        <v>297</v>
      </c>
      <c r="E18" s="202" t="s">
        <v>298</v>
      </c>
      <c r="F18" s="203" t="s">
        <v>299</v>
      </c>
      <c r="G18" s="202" t="s">
        <v>276</v>
      </c>
      <c r="H18" s="206" t="s">
        <v>300</v>
      </c>
      <c r="I18" s="207" t="s">
        <v>301</v>
      </c>
      <c r="J18" s="208" t="s">
        <v>174</v>
      </c>
    </row>
    <row r="19" spans="1:10" ht="28.5" customHeight="1" x14ac:dyDescent="0.35">
      <c r="A19" s="202">
        <v>18</v>
      </c>
      <c r="B19" s="203" t="s">
        <v>302</v>
      </c>
      <c r="C19" s="204" t="s">
        <v>303</v>
      </c>
      <c r="D19" s="205" t="s">
        <v>304</v>
      </c>
      <c r="E19" s="202" t="s">
        <v>305</v>
      </c>
      <c r="F19" s="203" t="s">
        <v>306</v>
      </c>
      <c r="G19" s="202" t="s">
        <v>307</v>
      </c>
      <c r="H19" s="206" t="s">
        <v>308</v>
      </c>
      <c r="I19" s="207" t="s">
        <v>309</v>
      </c>
      <c r="J19" s="208" t="s">
        <v>174</v>
      </c>
    </row>
    <row r="20" spans="1:10" ht="16.5" customHeight="1" x14ac:dyDescent="0.35">
      <c r="A20" s="202">
        <v>19</v>
      </c>
      <c r="B20" s="203" t="s">
        <v>310</v>
      </c>
      <c r="C20" s="204" t="s">
        <v>311</v>
      </c>
      <c r="D20" s="205" t="s">
        <v>312</v>
      </c>
      <c r="E20" s="202" t="s">
        <v>313</v>
      </c>
      <c r="F20" s="203" t="s">
        <v>314</v>
      </c>
      <c r="G20" s="202" t="s">
        <v>315</v>
      </c>
      <c r="H20" s="206" t="s">
        <v>316</v>
      </c>
      <c r="I20" s="207" t="s">
        <v>317</v>
      </c>
      <c r="J20" s="208" t="s">
        <v>318</v>
      </c>
    </row>
    <row r="21" spans="1:10" ht="20.25" customHeight="1" x14ac:dyDescent="0.35">
      <c r="A21" s="202">
        <v>20</v>
      </c>
      <c r="B21" s="203" t="s">
        <v>319</v>
      </c>
      <c r="C21" s="204" t="s">
        <v>320</v>
      </c>
      <c r="D21" s="205" t="s">
        <v>321</v>
      </c>
      <c r="E21" s="202" t="s">
        <v>322</v>
      </c>
      <c r="F21" s="203" t="s">
        <v>323</v>
      </c>
      <c r="G21" s="202" t="s">
        <v>324</v>
      </c>
      <c r="H21" s="206" t="s">
        <v>325</v>
      </c>
      <c r="I21" s="207" t="s">
        <v>326</v>
      </c>
      <c r="J21" s="208" t="s">
        <v>174</v>
      </c>
    </row>
    <row r="22" spans="1:10" ht="29.25" customHeight="1" x14ac:dyDescent="0.35">
      <c r="A22" s="202">
        <v>21</v>
      </c>
      <c r="B22" s="203" t="s">
        <v>327</v>
      </c>
      <c r="C22" s="204" t="s">
        <v>328</v>
      </c>
      <c r="D22" s="205" t="s">
        <v>329</v>
      </c>
      <c r="E22" s="202" t="s">
        <v>330</v>
      </c>
      <c r="F22" s="203" t="s">
        <v>331</v>
      </c>
      <c r="G22" s="202" t="s">
        <v>332</v>
      </c>
      <c r="H22" s="206" t="s">
        <v>333</v>
      </c>
      <c r="I22" s="207" t="s">
        <v>334</v>
      </c>
      <c r="J22" s="208" t="s">
        <v>174</v>
      </c>
    </row>
    <row r="23" spans="1:10" ht="27" customHeight="1" x14ac:dyDescent="0.35">
      <c r="A23" s="202">
        <v>22</v>
      </c>
      <c r="B23" s="203" t="s">
        <v>335</v>
      </c>
      <c r="C23" s="204" t="s">
        <v>336</v>
      </c>
      <c r="D23" s="205" t="s">
        <v>337</v>
      </c>
      <c r="E23" s="202" t="s">
        <v>338</v>
      </c>
      <c r="F23" s="203" t="s">
        <v>339</v>
      </c>
      <c r="G23" s="202" t="s">
        <v>340</v>
      </c>
      <c r="H23" s="206" t="s">
        <v>341</v>
      </c>
      <c r="I23" s="207" t="s">
        <v>342</v>
      </c>
      <c r="J23" s="208" t="s">
        <v>174</v>
      </c>
    </row>
    <row r="24" spans="1:10" ht="17.25" customHeight="1" x14ac:dyDescent="0.35">
      <c r="A24" s="202">
        <v>23</v>
      </c>
      <c r="B24" s="203" t="s">
        <v>343</v>
      </c>
      <c r="C24" s="204" t="s">
        <v>344</v>
      </c>
      <c r="D24" s="205" t="s">
        <v>345</v>
      </c>
      <c r="E24" s="202" t="s">
        <v>346</v>
      </c>
      <c r="F24" s="203" t="s">
        <v>347</v>
      </c>
      <c r="G24" s="202" t="s">
        <v>348</v>
      </c>
      <c r="H24" s="206" t="s">
        <v>349</v>
      </c>
      <c r="I24" s="207" t="s">
        <v>350</v>
      </c>
      <c r="J24" s="208" t="s">
        <v>174</v>
      </c>
    </row>
    <row r="25" spans="1:10" ht="31.5" customHeight="1" x14ac:dyDescent="0.35">
      <c r="A25" s="202">
        <v>24</v>
      </c>
      <c r="B25" s="203" t="s">
        <v>351</v>
      </c>
      <c r="C25" s="204" t="s">
        <v>352</v>
      </c>
      <c r="D25" s="205" t="s">
        <v>353</v>
      </c>
      <c r="E25" s="202" t="s">
        <v>354</v>
      </c>
      <c r="F25" s="203" t="s">
        <v>355</v>
      </c>
      <c r="G25" s="202" t="s">
        <v>356</v>
      </c>
      <c r="H25" s="206" t="s">
        <v>357</v>
      </c>
      <c r="I25" s="207" t="s">
        <v>358</v>
      </c>
      <c r="J25" s="208" t="s">
        <v>174</v>
      </c>
    </row>
    <row r="26" spans="1:10" ht="26.25" customHeight="1" x14ac:dyDescent="0.35">
      <c r="A26" s="202">
        <v>25</v>
      </c>
      <c r="B26" s="203" t="s">
        <v>359</v>
      </c>
      <c r="C26" s="204" t="s">
        <v>360</v>
      </c>
      <c r="D26" s="205" t="s">
        <v>361</v>
      </c>
      <c r="E26" s="202" t="s">
        <v>362</v>
      </c>
      <c r="F26" s="203" t="s">
        <v>363</v>
      </c>
      <c r="G26" s="202" t="s">
        <v>364</v>
      </c>
      <c r="H26" s="206" t="s">
        <v>365</v>
      </c>
      <c r="I26" s="207" t="s">
        <v>366</v>
      </c>
      <c r="J26" s="208" t="s">
        <v>174</v>
      </c>
    </row>
    <row r="27" spans="1:10" ht="17.25" customHeight="1" x14ac:dyDescent="0.35">
      <c r="A27" s="202">
        <v>26</v>
      </c>
      <c r="B27" s="203" t="s">
        <v>367</v>
      </c>
      <c r="C27" s="204" t="s">
        <v>368</v>
      </c>
      <c r="D27" s="205" t="s">
        <v>369</v>
      </c>
      <c r="E27" s="202" t="s">
        <v>370</v>
      </c>
      <c r="F27" s="203" t="s">
        <v>371</v>
      </c>
      <c r="G27" s="202" t="s">
        <v>372</v>
      </c>
      <c r="H27" s="206" t="s">
        <v>373</v>
      </c>
      <c r="I27" s="207" t="s">
        <v>374</v>
      </c>
      <c r="J27" s="208" t="s">
        <v>174</v>
      </c>
    </row>
    <row r="28" spans="1:10" ht="17.25" customHeight="1" x14ac:dyDescent="0.35">
      <c r="A28" s="202">
        <v>27</v>
      </c>
      <c r="B28" s="203" t="s">
        <v>375</v>
      </c>
      <c r="C28" s="204" t="s">
        <v>376</v>
      </c>
      <c r="D28" s="205" t="s">
        <v>377</v>
      </c>
      <c r="E28" s="202" t="s">
        <v>378</v>
      </c>
      <c r="F28" s="203" t="s">
        <v>379</v>
      </c>
      <c r="G28" s="202" t="s">
        <v>380</v>
      </c>
      <c r="H28" s="206" t="s">
        <v>381</v>
      </c>
      <c r="I28" s="207" t="s">
        <v>382</v>
      </c>
      <c r="J28" s="208" t="s">
        <v>174</v>
      </c>
    </row>
    <row r="29" spans="1:10" ht="17.25" customHeight="1" x14ac:dyDescent="0.35">
      <c r="A29" s="202">
        <v>28</v>
      </c>
      <c r="B29" s="203" t="s">
        <v>383</v>
      </c>
      <c r="C29" s="204" t="s">
        <v>384</v>
      </c>
      <c r="D29" s="205" t="s">
        <v>385</v>
      </c>
      <c r="E29" s="202" t="s">
        <v>386</v>
      </c>
      <c r="F29" s="203" t="s">
        <v>387</v>
      </c>
      <c r="G29" s="202" t="s">
        <v>388</v>
      </c>
      <c r="H29" s="206" t="s">
        <v>389</v>
      </c>
      <c r="I29" s="207" t="s">
        <v>390</v>
      </c>
      <c r="J29" s="208" t="s">
        <v>174</v>
      </c>
    </row>
    <row r="30" spans="1:10" ht="29.25" customHeight="1" x14ac:dyDescent="0.35">
      <c r="A30" s="202">
        <v>29</v>
      </c>
      <c r="B30" s="203" t="s">
        <v>391</v>
      </c>
      <c r="C30" s="204" t="s">
        <v>392</v>
      </c>
      <c r="D30" s="205" t="s">
        <v>393</v>
      </c>
      <c r="E30" s="202" t="s">
        <v>394</v>
      </c>
      <c r="F30" s="203" t="s">
        <v>395</v>
      </c>
      <c r="G30" s="202" t="s">
        <v>396</v>
      </c>
      <c r="H30" s="206" t="s">
        <v>397</v>
      </c>
      <c r="I30" s="207" t="s">
        <v>398</v>
      </c>
      <c r="J30" s="208" t="s">
        <v>174</v>
      </c>
    </row>
    <row r="31" spans="1:10" ht="28.5" customHeight="1" x14ac:dyDescent="0.35">
      <c r="A31" s="202">
        <v>30</v>
      </c>
      <c r="B31" s="203" t="s">
        <v>399</v>
      </c>
      <c r="C31" s="204" t="s">
        <v>400</v>
      </c>
      <c r="D31" s="205" t="s">
        <v>401</v>
      </c>
      <c r="E31" s="202" t="s">
        <v>402</v>
      </c>
      <c r="F31" s="203" t="s">
        <v>403</v>
      </c>
      <c r="G31" s="202" t="s">
        <v>404</v>
      </c>
      <c r="H31" s="206" t="s">
        <v>405</v>
      </c>
      <c r="I31" s="207" t="s">
        <v>406</v>
      </c>
      <c r="J31" s="208" t="s">
        <v>174</v>
      </c>
    </row>
    <row r="32" spans="1:10" ht="35.25" customHeight="1" x14ac:dyDescent="0.35">
      <c r="A32" s="202">
        <v>31</v>
      </c>
      <c r="B32" s="203" t="s">
        <v>407</v>
      </c>
      <c r="C32" s="204" t="s">
        <v>408</v>
      </c>
      <c r="D32" s="205" t="s">
        <v>409</v>
      </c>
      <c r="E32" s="202" t="s">
        <v>410</v>
      </c>
      <c r="F32" s="203" t="s">
        <v>411</v>
      </c>
      <c r="G32" s="202" t="s">
        <v>412</v>
      </c>
      <c r="H32" s="206" t="s">
        <v>413</v>
      </c>
      <c r="I32" s="207" t="s">
        <v>414</v>
      </c>
      <c r="J32" s="208" t="s">
        <v>174</v>
      </c>
    </row>
    <row r="33" spans="1:10" ht="17.25" customHeight="1" x14ac:dyDescent="0.35">
      <c r="A33" s="202">
        <v>32</v>
      </c>
      <c r="B33" s="203" t="s">
        <v>415</v>
      </c>
      <c r="C33" s="204" t="s">
        <v>416</v>
      </c>
      <c r="D33" s="205" t="s">
        <v>417</v>
      </c>
      <c r="E33" s="202" t="s">
        <v>418</v>
      </c>
      <c r="F33" s="203" t="s">
        <v>419</v>
      </c>
      <c r="G33" s="202" t="s">
        <v>420</v>
      </c>
      <c r="H33" s="206" t="s">
        <v>421</v>
      </c>
      <c r="I33" s="207" t="s">
        <v>422</v>
      </c>
      <c r="J33" s="208" t="s">
        <v>174</v>
      </c>
    </row>
    <row r="34" spans="1:10" ht="17.25" customHeight="1" x14ac:dyDescent="0.35">
      <c r="A34" s="202">
        <v>33</v>
      </c>
      <c r="B34" s="203" t="s">
        <v>423</v>
      </c>
      <c r="C34" s="204" t="s">
        <v>424</v>
      </c>
      <c r="D34" s="205" t="s">
        <v>425</v>
      </c>
      <c r="E34" s="202" t="s">
        <v>426</v>
      </c>
      <c r="F34" s="203" t="s">
        <v>427</v>
      </c>
      <c r="G34" s="202" t="s">
        <v>428</v>
      </c>
      <c r="H34" s="206" t="s">
        <v>429</v>
      </c>
      <c r="I34" s="207" t="s">
        <v>430</v>
      </c>
      <c r="J34" s="208" t="s">
        <v>174</v>
      </c>
    </row>
    <row r="35" spans="1:10" ht="17.25" customHeight="1" x14ac:dyDescent="0.35">
      <c r="A35" s="202">
        <v>34</v>
      </c>
      <c r="B35" s="203" t="s">
        <v>431</v>
      </c>
      <c r="C35" s="204" t="s">
        <v>432</v>
      </c>
      <c r="D35" s="205" t="s">
        <v>433</v>
      </c>
      <c r="E35" s="202" t="s">
        <v>434</v>
      </c>
      <c r="F35" s="203" t="s">
        <v>435</v>
      </c>
      <c r="G35" s="202" t="s">
        <v>436</v>
      </c>
      <c r="H35" s="206" t="s">
        <v>437</v>
      </c>
      <c r="I35" s="207" t="s">
        <v>438</v>
      </c>
      <c r="J35" s="208" t="s">
        <v>174</v>
      </c>
    </row>
    <row r="36" spans="1:10" ht="39.75" customHeight="1" x14ac:dyDescent="0.35">
      <c r="A36" s="202">
        <v>35</v>
      </c>
      <c r="B36" s="203" t="s">
        <v>439</v>
      </c>
      <c r="C36" s="204" t="s">
        <v>440</v>
      </c>
      <c r="D36" s="205" t="s">
        <v>441</v>
      </c>
      <c r="E36" s="202" t="s">
        <v>442</v>
      </c>
      <c r="F36" s="203" t="s">
        <v>443</v>
      </c>
      <c r="G36" s="202" t="s">
        <v>444</v>
      </c>
      <c r="H36" s="206" t="s">
        <v>445</v>
      </c>
      <c r="I36" s="207" t="s">
        <v>446</v>
      </c>
      <c r="J36" s="208" t="s">
        <v>174</v>
      </c>
    </row>
    <row r="37" spans="1:10" ht="36.75" customHeight="1" x14ac:dyDescent="0.35">
      <c r="A37" s="202">
        <v>36</v>
      </c>
      <c r="B37" s="203" t="s">
        <v>447</v>
      </c>
      <c r="C37" s="204" t="s">
        <v>448</v>
      </c>
      <c r="D37" s="205" t="s">
        <v>449</v>
      </c>
      <c r="E37" s="202" t="s">
        <v>450</v>
      </c>
      <c r="F37" s="203" t="s">
        <v>451</v>
      </c>
      <c r="G37" s="202" t="s">
        <v>452</v>
      </c>
      <c r="H37" s="206" t="s">
        <v>453</v>
      </c>
      <c r="I37" s="207" t="s">
        <v>454</v>
      </c>
      <c r="J37" s="208" t="s">
        <v>174</v>
      </c>
    </row>
    <row r="38" spans="1:10" ht="36" customHeight="1" x14ac:dyDescent="0.35">
      <c r="A38" s="202">
        <v>37</v>
      </c>
      <c r="B38" s="203" t="s">
        <v>455</v>
      </c>
      <c r="C38" s="204" t="s">
        <v>456</v>
      </c>
      <c r="D38" s="205" t="s">
        <v>457</v>
      </c>
      <c r="E38" s="202" t="s">
        <v>458</v>
      </c>
      <c r="F38" s="203" t="s">
        <v>459</v>
      </c>
      <c r="G38" s="202" t="s">
        <v>460</v>
      </c>
      <c r="H38" s="206" t="s">
        <v>461</v>
      </c>
      <c r="I38" s="207" t="s">
        <v>462</v>
      </c>
      <c r="J38" s="208" t="s">
        <v>174</v>
      </c>
    </row>
    <row r="39" spans="1:10" ht="36.75" customHeight="1" x14ac:dyDescent="0.35">
      <c r="A39" s="202">
        <v>38</v>
      </c>
      <c r="B39" s="203" t="s">
        <v>463</v>
      </c>
      <c r="C39" s="204" t="s">
        <v>464</v>
      </c>
      <c r="D39" s="205" t="s">
        <v>465</v>
      </c>
      <c r="E39" s="202" t="s">
        <v>466</v>
      </c>
      <c r="F39" s="203" t="s">
        <v>467</v>
      </c>
      <c r="G39" s="202" t="s">
        <v>468</v>
      </c>
      <c r="H39" s="206" t="s">
        <v>469</v>
      </c>
      <c r="I39" s="207" t="s">
        <v>470</v>
      </c>
      <c r="J39" s="208" t="s">
        <v>174</v>
      </c>
    </row>
    <row r="40" spans="1:10" ht="39" customHeight="1" x14ac:dyDescent="0.35">
      <c r="A40" s="202">
        <v>39</v>
      </c>
      <c r="B40" s="203" t="s">
        <v>471</v>
      </c>
      <c r="C40" s="204" t="s">
        <v>472</v>
      </c>
      <c r="D40" s="205" t="s">
        <v>473</v>
      </c>
      <c r="E40" s="202" t="s">
        <v>474</v>
      </c>
      <c r="F40" s="203" t="s">
        <v>475</v>
      </c>
      <c r="G40" s="202" t="s">
        <v>476</v>
      </c>
      <c r="H40" s="206" t="s">
        <v>477</v>
      </c>
      <c r="I40" s="207" t="s">
        <v>478</v>
      </c>
      <c r="J40" s="208" t="s">
        <v>174</v>
      </c>
    </row>
    <row r="41" spans="1:10" ht="41.25" customHeight="1" x14ac:dyDescent="0.35">
      <c r="A41" s="202">
        <v>40</v>
      </c>
      <c r="B41" s="203" t="s">
        <v>479</v>
      </c>
      <c r="C41" s="204" t="s">
        <v>480</v>
      </c>
      <c r="D41" s="205" t="s">
        <v>481</v>
      </c>
      <c r="E41" s="202" t="s">
        <v>482</v>
      </c>
      <c r="F41" s="203" t="s">
        <v>483</v>
      </c>
      <c r="G41" s="202" t="s">
        <v>484</v>
      </c>
      <c r="H41" s="206" t="s">
        <v>485</v>
      </c>
      <c r="I41" s="207" t="s">
        <v>486</v>
      </c>
      <c r="J41" s="208" t="s">
        <v>174</v>
      </c>
    </row>
    <row r="42" spans="1:10" ht="17.25" customHeight="1" x14ac:dyDescent="0.35">
      <c r="A42" s="202">
        <v>41</v>
      </c>
      <c r="B42" s="203" t="s">
        <v>487</v>
      </c>
      <c r="C42" s="204" t="s">
        <v>488</v>
      </c>
      <c r="D42" s="205" t="s">
        <v>489</v>
      </c>
      <c r="E42" s="202" t="s">
        <v>490</v>
      </c>
      <c r="F42" s="203" t="s">
        <v>491</v>
      </c>
      <c r="G42" s="202" t="s">
        <v>492</v>
      </c>
      <c r="H42" s="206" t="s">
        <v>493</v>
      </c>
      <c r="I42" s="207" t="s">
        <v>494</v>
      </c>
      <c r="J42" s="208" t="s">
        <v>174</v>
      </c>
    </row>
    <row r="43" spans="1:10" ht="17.25" customHeight="1" x14ac:dyDescent="0.35">
      <c r="A43" s="202">
        <v>42</v>
      </c>
      <c r="B43" s="203" t="s">
        <v>495</v>
      </c>
      <c r="C43" s="204" t="s">
        <v>496</v>
      </c>
      <c r="D43" s="205" t="s">
        <v>497</v>
      </c>
      <c r="E43" s="202" t="s">
        <v>498</v>
      </c>
      <c r="F43" s="203" t="s">
        <v>499</v>
      </c>
      <c r="G43" s="202" t="s">
        <v>500</v>
      </c>
      <c r="H43" s="206" t="s">
        <v>501</v>
      </c>
      <c r="I43" s="207" t="s">
        <v>502</v>
      </c>
      <c r="J43" s="208" t="s">
        <v>174</v>
      </c>
    </row>
    <row r="44" spans="1:10" ht="17.25" customHeight="1" x14ac:dyDescent="0.35">
      <c r="A44" s="202">
        <v>43</v>
      </c>
      <c r="B44" s="203" t="s">
        <v>503</v>
      </c>
      <c r="C44" s="204" t="s">
        <v>504</v>
      </c>
      <c r="D44" s="205" t="s">
        <v>505</v>
      </c>
      <c r="E44" s="202" t="s">
        <v>506</v>
      </c>
      <c r="F44" s="203" t="s">
        <v>507</v>
      </c>
      <c r="G44" s="202" t="s">
        <v>508</v>
      </c>
      <c r="H44" s="206" t="s">
        <v>509</v>
      </c>
      <c r="I44" s="207" t="s">
        <v>510</v>
      </c>
      <c r="J44" s="208" t="s">
        <v>174</v>
      </c>
    </row>
    <row r="45" spans="1:10" ht="17.25" customHeight="1" x14ac:dyDescent="0.35">
      <c r="A45" s="202">
        <v>44</v>
      </c>
      <c r="B45" s="203" t="s">
        <v>511</v>
      </c>
      <c r="C45" s="204" t="s">
        <v>512</v>
      </c>
      <c r="D45" s="205" t="s">
        <v>513</v>
      </c>
      <c r="E45" s="202" t="s">
        <v>514</v>
      </c>
      <c r="F45" s="203" t="s">
        <v>515</v>
      </c>
      <c r="G45" s="202" t="s">
        <v>516</v>
      </c>
      <c r="H45" s="206" t="s">
        <v>517</v>
      </c>
      <c r="I45" s="207" t="s">
        <v>518</v>
      </c>
      <c r="J45" s="208" t="s">
        <v>174</v>
      </c>
    </row>
    <row r="46" spans="1:10" ht="17.25" customHeight="1" x14ac:dyDescent="0.35">
      <c r="A46" s="202">
        <v>45</v>
      </c>
      <c r="B46" s="203" t="s">
        <v>519</v>
      </c>
      <c r="C46" s="204" t="s">
        <v>520</v>
      </c>
      <c r="D46" s="205" t="s">
        <v>521</v>
      </c>
      <c r="E46" s="202" t="s">
        <v>522</v>
      </c>
      <c r="F46" s="203" t="s">
        <v>523</v>
      </c>
      <c r="G46" s="202" t="s">
        <v>524</v>
      </c>
      <c r="H46" s="206" t="s">
        <v>525</v>
      </c>
      <c r="I46" s="207" t="s">
        <v>526</v>
      </c>
      <c r="J46" s="208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паспорт</vt:lpstr>
      <vt:lpstr>графік</vt:lpstr>
      <vt:lpstr>паспорт із підвищеною %</vt:lpstr>
      <vt:lpstr>графік із підвищеною %</vt:lpstr>
      <vt:lpstr>дод 1 до дог кред</vt:lpstr>
      <vt:lpstr>Лист1</vt:lpstr>
      <vt:lpstr>графік!Область_печати</vt:lpstr>
    </vt:vector>
  </TitlesOfParts>
  <Company>PJSC CB "PRAVEX-BANK"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Shpakivskyi Oleksandr Mykhailovych</dc:creator>
  <cp:lastModifiedBy>Safonov Sergii Viktorovych</cp:lastModifiedBy>
  <cp:lastPrinted>2019-03-27T08:54:56Z</cp:lastPrinted>
  <dcterms:created xsi:type="dcterms:W3CDTF">2017-10-13T07:54:03Z</dcterms:created>
  <dcterms:modified xsi:type="dcterms:W3CDTF">2021-02-01T10:05:38Z</dcterms:modified>
</cp:coreProperties>
</file>